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4" activeTab="7"/>
  </bookViews>
  <sheets>
    <sheet name="Всього" sheetId="1" r:id="rId1"/>
    <sheet name="населення" sheetId="2" r:id="rId2"/>
    <sheet name="льготи" sheetId="3" r:id="rId3"/>
    <sheet name="субсидии" sheetId="4" r:id="rId4"/>
    <sheet name="держ.бюджет" sheetId="5" r:id="rId5"/>
    <sheet name="місц.-район.бюджет" sheetId="6" r:id="rId6"/>
    <sheet name="обласной" sheetId="7" r:id="rId7"/>
    <sheet name="госпрозрахунк." sheetId="8" r:id="rId8"/>
  </sheets>
  <definedNames>
    <definedName name="_xlnm.Print_Area" localSheetId="0">'Всього'!$A$1:$U$57</definedName>
    <definedName name="_xlnm.Print_Area" localSheetId="7">'госпрозрахунк.'!$A$1:$U$56</definedName>
    <definedName name="_xlnm.Print_Area" localSheetId="4">'держ.бюджет'!$A$1:$U$57</definedName>
    <definedName name="_xlnm.Print_Area" localSheetId="2">'льготи'!$A$1:$U$55</definedName>
    <definedName name="_xlnm.Print_Area" localSheetId="5">'місц.-район.бюджет'!$A$1:$U$56</definedName>
    <definedName name="_xlnm.Print_Area" localSheetId="1">'населення'!$A$1:$U$55</definedName>
    <definedName name="_xlnm.Print_Area" localSheetId="6">'обласной'!$A$1:$U$56</definedName>
    <definedName name="_xlnm.Print_Area" localSheetId="3">'субсидии'!$A$1:$U$55</definedName>
  </definedNames>
  <calcPr fullCalcOnLoad="1"/>
</workbook>
</file>

<file path=xl/sharedStrings.xml><?xml version="1.0" encoding="utf-8"?>
<sst xmlns="http://schemas.openxmlformats.org/spreadsheetml/2006/main" count="757" uniqueCount="125">
  <si>
    <t>%</t>
  </si>
  <si>
    <t>Сальдо</t>
  </si>
  <si>
    <t>Назва  районів, міст</t>
  </si>
  <si>
    <t xml:space="preserve"> Первомайський р-н</t>
  </si>
  <si>
    <t xml:space="preserve"> Печенізький  р-н</t>
  </si>
  <si>
    <t xml:space="preserve"> Сахновщинський р-н</t>
  </si>
  <si>
    <t>м.Харків:</t>
  </si>
  <si>
    <t>По  районах і містах області, в т.ч.:</t>
  </si>
  <si>
    <t xml:space="preserve">Усього </t>
  </si>
  <si>
    <t xml:space="preserve"> Коломацький</t>
  </si>
  <si>
    <t>п.п.</t>
  </si>
  <si>
    <t xml:space="preserve"> </t>
  </si>
  <si>
    <t xml:space="preserve"> Харківський р-н</t>
  </si>
  <si>
    <t xml:space="preserve"> Балаклійський  р-н (КП БРР "Балаклійські теплові мережі")</t>
  </si>
  <si>
    <t xml:space="preserve"> Богодухівський  р-н (ТОВ "КЛК")</t>
  </si>
  <si>
    <t xml:space="preserve"> Борівський  р-н (Борівське КПТМ) </t>
  </si>
  <si>
    <t xml:space="preserve"> Валківський  р-н (ТОВ "КЛК")</t>
  </si>
  <si>
    <t xml:space="preserve"> В. Бурлуцький  р-н (ТОВ "КЛК")</t>
  </si>
  <si>
    <t xml:space="preserve"> Вовчанський  р-н (Вовчанське КПТМ)</t>
  </si>
  <si>
    <t xml:space="preserve"> Дворічанський  р-н (ТОВ "КЛК")</t>
  </si>
  <si>
    <t xml:space="preserve"> Дергачівський р-н (ХОКП "ДРІТ")</t>
  </si>
  <si>
    <t xml:space="preserve"> Зачепилівський р-н (ТОВ "КЛК")</t>
  </si>
  <si>
    <t xml:space="preserve"> Зміївський  р-н (ТОВ "КЛК") </t>
  </si>
  <si>
    <t xml:space="preserve"> Золочівський р-н (ХОКП "ДРІТ")</t>
  </si>
  <si>
    <t xml:space="preserve"> Ізюмський р-н (Ізюмське КПТМ)</t>
  </si>
  <si>
    <t xml:space="preserve"> Кегичівський р-н (ТОВ "Володар Кегичівка") </t>
  </si>
  <si>
    <t xml:space="preserve"> Красноградський р-н (Красноградське ПТМ)</t>
  </si>
  <si>
    <t xml:space="preserve"> Краснокутський  р-н (ТОВ "КЛК")</t>
  </si>
  <si>
    <t xml:space="preserve"> Куп"янський р-н (ХОКП "ДРІТ")</t>
  </si>
  <si>
    <t xml:space="preserve"> Н-Водолазький  р-н (Нововодолазьке КПТМ)</t>
  </si>
  <si>
    <t xml:space="preserve"> Шевченківський  р-н (ХОКП "ДРІТ")</t>
  </si>
  <si>
    <t xml:space="preserve"> м. Ізюм (Ізюмське КПТМ)</t>
  </si>
  <si>
    <t xml:space="preserve"> м. Куп"янськ (ХОКП "ДРІТ")</t>
  </si>
  <si>
    <t xml:space="preserve"> м.  Люботин (ХОКП "ДРІТ")</t>
  </si>
  <si>
    <t xml:space="preserve"> м.  Первомайський (Первомайське КП "Тепломережі")</t>
  </si>
  <si>
    <t xml:space="preserve"> м. Чугуїв (КП "Чугуївтепло") </t>
  </si>
  <si>
    <t xml:space="preserve"> КП "ХТМ"</t>
  </si>
  <si>
    <t>АТ "ТЦРП"</t>
  </si>
  <si>
    <t>Барвінківський р-н ( ХОКП "Дирекція розвитку інфраструктури території")</t>
  </si>
  <si>
    <t>№</t>
  </si>
  <si>
    <t xml:space="preserve">Заступник начальника Головного управління 
житлово-комунального господарства та розвитку інфраструктури </t>
  </si>
  <si>
    <t xml:space="preserve">Заступник  начальника Головного управління 
житлово-комунального господарства та розвитку інфраструктури </t>
  </si>
  <si>
    <t>КП ТМ Харківського району</t>
  </si>
  <si>
    <t>Чкаловське</t>
  </si>
  <si>
    <t>КЛК</t>
  </si>
  <si>
    <t>Дрит без Чкал</t>
  </si>
  <si>
    <t>КЛК без Чугуев</t>
  </si>
  <si>
    <t>ТОВ "КЛК"</t>
  </si>
  <si>
    <t xml:space="preserve"> - найкращі показники</t>
  </si>
  <si>
    <t xml:space="preserve"> - незадовільні показники</t>
  </si>
  <si>
    <t>Название  районов, городов</t>
  </si>
  <si>
    <t>реализовано</t>
  </si>
  <si>
    <t>услуг</t>
  </si>
  <si>
    <t>оплачено</t>
  </si>
  <si>
    <t>тыс.грн.</t>
  </si>
  <si>
    <t>По районам и городам области, в т.ч.:</t>
  </si>
  <si>
    <t xml:space="preserve"> Балаклейский  р-н (КП БРР "Балаклейские тепловые сети")</t>
  </si>
  <si>
    <t xml:space="preserve"> Богодуховский  р-н (ООО "КБК")</t>
  </si>
  <si>
    <t xml:space="preserve"> Валковский  р-н (ООО "КБК")</t>
  </si>
  <si>
    <t xml:space="preserve"> В. Бурлукский  р-н (ООО "КБК")</t>
  </si>
  <si>
    <t xml:space="preserve"> Волчанский  р-н (Волчанское КПТС)</t>
  </si>
  <si>
    <t xml:space="preserve"> Двуречанский  р-н (ООО "КБК")</t>
  </si>
  <si>
    <t xml:space="preserve"> Дергачевский р-н (ХОКП "ДРИТ")</t>
  </si>
  <si>
    <t xml:space="preserve"> Зачепиловский р-н (ООО "КБК")</t>
  </si>
  <si>
    <t xml:space="preserve"> Золочевский р-н (ХОКП "ДРИТ")</t>
  </si>
  <si>
    <t xml:space="preserve"> Изюмский р-н (Изюмское КПТС)</t>
  </si>
  <si>
    <t xml:space="preserve"> Кегичевский р-н (ООО "Володарь Кегичевка") </t>
  </si>
  <si>
    <t xml:space="preserve"> Коломакский</t>
  </si>
  <si>
    <t xml:space="preserve"> Красноградский р-н (Красноградское ПТС)</t>
  </si>
  <si>
    <t xml:space="preserve"> Краснокутский  р-н (ООО "КБК")</t>
  </si>
  <si>
    <t xml:space="preserve"> Купянский р-н (ХОКП "ДРИТ")</t>
  </si>
  <si>
    <t xml:space="preserve"> Н-Водолажский  р-н (Нововодолажское КПТС)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</si>
  <si>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</si>
  <si>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</si>
  <si>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</si>
  <si>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</si>
  <si>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>КП ТС Харьковского района</t>
  </si>
  <si>
    <t>ООО "КБК"</t>
  </si>
  <si>
    <t xml:space="preserve"> Шевченковский  р-н (ХОКП "ДРИТ")</t>
  </si>
  <si>
    <t xml:space="preserve"> г. Изюм (Изюмское КПТС)</t>
  </si>
  <si>
    <t xml:space="preserve"> г. Купянск (ХОКП "ДРИТ")</t>
  </si>
  <si>
    <t xml:space="preserve"> г.  Люботин (ХОКП "ДРИТ")</t>
  </si>
  <si>
    <t xml:space="preserve"> г.  Первомайский (Первомайское КП "Теплосети")</t>
  </si>
  <si>
    <t xml:space="preserve"> г. Чугуев (КП "Чугуевтепло") </t>
  </si>
  <si>
    <t>г.Харьков:</t>
  </si>
  <si>
    <t xml:space="preserve"> КП "ХТС"</t>
  </si>
  <si>
    <t>ЧАО "ТЦРП"</t>
  </si>
  <si>
    <t xml:space="preserve">Всего </t>
  </si>
  <si>
    <t>ценрализовано услуги не оказываются</t>
  </si>
  <si>
    <t xml:space="preserve"> Боровской  р-н (Боровское КПТС) </t>
  </si>
  <si>
    <t xml:space="preserve"> Змиевской  р-н (ООО "КБК") </t>
  </si>
  <si>
    <t>Барвенковский р-н ( ХОКП "Дирекция развития инфраструктуры территории")</t>
  </si>
  <si>
    <t xml:space="preserve"> - лучшие показатели</t>
  </si>
  <si>
    <t xml:space="preserve"> - худшие показатели</t>
  </si>
  <si>
    <t xml:space="preserve">Состояние расчетов учреждений,которые финансируются из государственного бюджета, </t>
  </si>
  <si>
    <t xml:space="preserve">Состояние расчетов учреждений,которые финансируются из местных бюджетов, </t>
  </si>
  <si>
    <t xml:space="preserve">Состояние расчетов учреждений,которые финансируются из областного бюджета, </t>
  </si>
  <si>
    <t xml:space="preserve"> Харьковский р-н </t>
  </si>
  <si>
    <t>Состояние расчетов хозрасчетных потребителей</t>
  </si>
  <si>
    <t xml:space="preserve">        тыс.грн.</t>
  </si>
  <si>
    <t>Состояние расчетов потребителей области</t>
  </si>
  <si>
    <t>Состояние расчетов населения</t>
  </si>
  <si>
    <t>централизовано услуги не оказываются</t>
  </si>
  <si>
    <t>Состояние возмещения предоставленных льгот</t>
  </si>
  <si>
    <t>Состояние возмещения предоставленных субсидий</t>
  </si>
  <si>
    <t xml:space="preserve"> Лозовской р-н ( КП "Тепловодосервис") </t>
  </si>
  <si>
    <t xml:space="preserve"> Чугуевский р-н (ООО "КБК", ХОКП "ДРИТ")</t>
  </si>
  <si>
    <t xml:space="preserve"> г. Лозовая (КП "Теплоэнерго")</t>
  </si>
  <si>
    <t xml:space="preserve"> Близнюковский р-н (ООО "Близнюковский Райселькоммунхоз")</t>
  </si>
  <si>
    <t>в т.ч. октябрь 2013</t>
  </si>
  <si>
    <t>за отопительный период 2013/2014</t>
  </si>
  <si>
    <t>Р.С. Грива</t>
  </si>
  <si>
    <t>в т.ч. ноябрь 2013</t>
  </si>
  <si>
    <t>в т.ч. декабрь 2013</t>
  </si>
  <si>
    <t>Задолженность за отопительный период 2013/2014 по состоянию на 25.01.14</t>
  </si>
  <si>
    <t>КП "ХТС"</t>
  </si>
  <si>
    <t>Директор Департамента жилищно-
коммунального хозяйства и развития 
инфраструктуры ХОГА</t>
  </si>
  <si>
    <t>на 01.01.2015</t>
  </si>
  <si>
    <t>С.В. Магдисюк</t>
  </si>
  <si>
    <t xml:space="preserve">Директор Департамента </t>
  </si>
  <si>
    <t>Задолженность за  2015 год по состоянию на 21.08.2015</t>
  </si>
  <si>
    <t>с начала 2015 года (c учетом  начислений октября)</t>
  </si>
  <si>
    <t>по оплате услуг теплоснабжения, оказанных c начала 2015 года, по состоянию на 20.11.2015</t>
  </si>
  <si>
    <t>Задолженность за  2015 год по состоянию на 20.11.2015</t>
  </si>
  <si>
    <t>Общая задолженность на 20.11.2015 (с учетом долгов прошлых лет)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</si>
</sst>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0.000000"/>
    <numFmt numFmtId="196" formatCode="0.00000"/>
    <numFmt numFmtId="197" formatCode="#,##0.00\ &quot;к.&quot;"/>
    <numFmt numFmtId="198" formatCode="#,##0.00\ _к_."/>
    <numFmt numFmtId="199" formatCode="#,##0.0\ _к_."/>
    <numFmt numFmtId="200" formatCode="#,##0.000"/>
    <numFmt numFmtId="201" formatCode="[$-FC19]d\ mmmm\ yyyy\ &quot;г.&quot;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4"/>
      <color indexed="9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9"/>
      <name val="Times New Roman"/>
      <family val="1"/>
    </font>
    <font>
      <sz val="14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2"/>
      <color indexed="61"/>
      <name val="Times New Roman"/>
      <family val="1"/>
    </font>
    <font>
      <b/>
      <sz val="14"/>
      <color indexed="6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88" fontId="4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/>
    </xf>
    <xf numFmtId="192" fontId="3" fillId="0" borderId="10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19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92" fontId="3" fillId="0" borderId="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92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192" fontId="6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188" fontId="4" fillId="0" borderId="10" xfId="0" applyNumberFormat="1" applyFont="1" applyFill="1" applyBorder="1" applyAlignment="1">
      <alignment/>
    </xf>
    <xf numFmtId="192" fontId="5" fillId="0" borderId="1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4" fillId="0" borderId="0" xfId="0" applyFont="1" applyFill="1" applyAlignment="1">
      <alignment/>
    </xf>
    <xf numFmtId="192" fontId="15" fillId="0" borderId="10" xfId="0" applyNumberFormat="1" applyFont="1" applyFill="1" applyBorder="1" applyAlignment="1">
      <alignment wrapText="1"/>
    </xf>
    <xf numFmtId="192" fontId="14" fillId="0" borderId="10" xfId="0" applyNumberFormat="1" applyFont="1" applyFill="1" applyBorder="1" applyAlignment="1">
      <alignment/>
    </xf>
    <xf numFmtId="192" fontId="15" fillId="0" borderId="10" xfId="0" applyNumberFormat="1" applyFont="1" applyFill="1" applyBorder="1" applyAlignment="1">
      <alignment/>
    </xf>
    <xf numFmtId="188" fontId="14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88" fontId="14" fillId="0" borderId="10" xfId="0" applyNumberFormat="1" applyFont="1" applyFill="1" applyBorder="1" applyAlignment="1">
      <alignment/>
    </xf>
    <xf numFmtId="192" fontId="14" fillId="0" borderId="14" xfId="0" applyNumberFormat="1" applyFont="1" applyFill="1" applyBorder="1" applyAlignment="1">
      <alignment/>
    </xf>
    <xf numFmtId="192" fontId="15" fillId="0" borderId="13" xfId="0" applyNumberFormat="1" applyFont="1" applyFill="1" applyBorder="1" applyAlignment="1">
      <alignment wrapText="1"/>
    </xf>
    <xf numFmtId="1" fontId="15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188" fontId="4" fillId="0" borderId="10" xfId="0" applyNumberFormat="1" applyFont="1" applyFill="1" applyBorder="1" applyAlignment="1">
      <alignment wrapText="1"/>
    </xf>
    <xf numFmtId="0" fontId="3" fillId="35" borderId="0" xfId="0" applyFont="1" applyFill="1" applyAlignment="1">
      <alignment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3" fillId="0" borderId="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/>
    </xf>
    <xf numFmtId="192" fontId="8" fillId="0" borderId="10" xfId="0" applyNumberFormat="1" applyFont="1" applyFill="1" applyBorder="1" applyAlignment="1">
      <alignment wrapText="1"/>
    </xf>
    <xf numFmtId="192" fontId="13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192" fontId="16" fillId="0" borderId="0" xfId="0" applyNumberFormat="1" applyFont="1" applyFill="1" applyAlignment="1">
      <alignment horizontal="left"/>
    </xf>
    <xf numFmtId="188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92" fontId="18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192" fontId="3" fillId="0" borderId="10" xfId="0" applyNumberFormat="1" applyFont="1" applyFill="1" applyBorder="1" applyAlignment="1">
      <alignment horizontal="right" wrapText="1"/>
    </xf>
    <xf numFmtId="192" fontId="24" fillId="0" borderId="10" xfId="0" applyNumberFormat="1" applyFont="1" applyFill="1" applyBorder="1" applyAlignment="1">
      <alignment/>
    </xf>
    <xf numFmtId="192" fontId="3" fillId="0" borderId="14" xfId="0" applyNumberFormat="1" applyFont="1" applyFill="1" applyBorder="1" applyAlignment="1">
      <alignment/>
    </xf>
    <xf numFmtId="192" fontId="3" fillId="0" borderId="15" xfId="0" applyNumberFormat="1" applyFont="1" applyFill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188" fontId="3" fillId="0" borderId="0" xfId="0" applyNumberFormat="1" applyFont="1" applyFill="1" applyAlignment="1">
      <alignment horizontal="right"/>
    </xf>
    <xf numFmtId="0" fontId="4" fillId="0" borderId="18" xfId="0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8" fillId="0" borderId="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 shrinkToFit="1"/>
    </xf>
    <xf numFmtId="1" fontId="7" fillId="0" borderId="0" xfId="0" applyNumberFormat="1" applyFont="1" applyFill="1" applyAlignment="1">
      <alignment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192" fontId="22" fillId="0" borderId="0" xfId="0" applyNumberFormat="1" applyFont="1" applyFill="1" applyAlignment="1">
      <alignment horizontal="left"/>
    </xf>
    <xf numFmtId="192" fontId="4" fillId="0" borderId="10" xfId="0" applyNumberFormat="1" applyFont="1" applyFill="1" applyBorder="1" applyAlignment="1">
      <alignment horizontal="right" wrapText="1"/>
    </xf>
    <xf numFmtId="192" fontId="3" fillId="0" borderId="0" xfId="0" applyNumberFormat="1" applyFont="1" applyFill="1" applyBorder="1" applyAlignment="1">
      <alignment horizontal="right" wrapText="1"/>
    </xf>
    <xf numFmtId="188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92" fontId="3" fillId="0" borderId="10" xfId="0" applyNumberFormat="1" applyFont="1" applyFill="1" applyBorder="1" applyAlignment="1">
      <alignment horizontal="right"/>
    </xf>
    <xf numFmtId="192" fontId="14" fillId="0" borderId="10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 wrapText="1"/>
    </xf>
    <xf numFmtId="192" fontId="3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92" fontId="3" fillId="0" borderId="0" xfId="0" applyNumberFormat="1" applyFont="1" applyFill="1" applyBorder="1" applyAlignment="1">
      <alignment horizontal="center" wrapText="1"/>
    </xf>
    <xf numFmtId="192" fontId="3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2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right"/>
    </xf>
    <xf numFmtId="192" fontId="5" fillId="35" borderId="10" xfId="0" applyNumberFormat="1" applyFont="1" applyFill="1" applyBorder="1" applyAlignment="1">
      <alignment wrapText="1"/>
    </xf>
    <xf numFmtId="192" fontId="13" fillId="0" borderId="10" xfId="0" applyNumberFormat="1" applyFont="1" applyFill="1" applyBorder="1" applyAlignment="1">
      <alignment horizontal="right" wrapText="1"/>
    </xf>
    <xf numFmtId="192" fontId="8" fillId="0" borderId="10" xfId="0" applyNumberFormat="1" applyFont="1" applyFill="1" applyBorder="1" applyAlignment="1">
      <alignment horizontal="right"/>
    </xf>
    <xf numFmtId="192" fontId="8" fillId="0" borderId="14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 wrapText="1"/>
    </xf>
    <xf numFmtId="192" fontId="8" fillId="0" borderId="10" xfId="0" applyNumberFormat="1" applyFont="1" applyFill="1" applyBorder="1" applyAlignment="1">
      <alignment horizontal="right" wrapText="1"/>
    </xf>
    <xf numFmtId="192" fontId="5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92" fontId="3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right"/>
    </xf>
    <xf numFmtId="192" fontId="4" fillId="35" borderId="10" xfId="0" applyNumberFormat="1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88" fontId="7" fillId="0" borderId="0" xfId="0" applyNumberFormat="1" applyFont="1" applyFill="1" applyAlignment="1">
      <alignment/>
    </xf>
    <xf numFmtId="188" fontId="4" fillId="35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justify"/>
    </xf>
    <xf numFmtId="192" fontId="65" fillId="0" borderId="10" xfId="0" applyNumberFormat="1" applyFont="1" applyFill="1" applyBorder="1" applyAlignment="1">
      <alignment wrapText="1"/>
    </xf>
    <xf numFmtId="0" fontId="17" fillId="0" borderId="12" xfId="0" applyFont="1" applyFill="1" applyBorder="1" applyAlignment="1">
      <alignment horizontal="center"/>
    </xf>
    <xf numFmtId="192" fontId="66" fillId="0" borderId="10" xfId="0" applyNumberFormat="1" applyFont="1" applyFill="1" applyBorder="1" applyAlignment="1">
      <alignment/>
    </xf>
    <xf numFmtId="192" fontId="67" fillId="0" borderId="10" xfId="0" applyNumberFormat="1" applyFont="1" applyFill="1" applyBorder="1" applyAlignment="1">
      <alignment wrapText="1"/>
    </xf>
    <xf numFmtId="192" fontId="65" fillId="0" borderId="10" xfId="0" applyNumberFormat="1" applyFont="1" applyFill="1" applyBorder="1" applyAlignment="1">
      <alignment wrapText="1"/>
    </xf>
    <xf numFmtId="0" fontId="4" fillId="36" borderId="0" xfId="0" applyFont="1" applyFill="1" applyAlignment="1">
      <alignment/>
    </xf>
    <xf numFmtId="188" fontId="4" fillId="36" borderId="0" xfId="0" applyNumberFormat="1" applyFont="1" applyFill="1" applyAlignment="1">
      <alignment/>
    </xf>
    <xf numFmtId="0" fontId="4" fillId="36" borderId="10" xfId="0" applyFont="1" applyFill="1" applyBorder="1" applyAlignment="1">
      <alignment/>
    </xf>
    <xf numFmtId="188" fontId="3" fillId="36" borderId="0" xfId="0" applyNumberFormat="1" applyFont="1" applyFill="1" applyAlignment="1">
      <alignment/>
    </xf>
    <xf numFmtId="0" fontId="3" fillId="36" borderId="0" xfId="0" applyFont="1" applyFill="1" applyAlignment="1">
      <alignment wrapText="1"/>
    </xf>
    <xf numFmtId="0" fontId="3" fillId="36" borderId="0" xfId="0" applyFont="1" applyFill="1" applyAlignment="1">
      <alignment horizontal="right"/>
    </xf>
    <xf numFmtId="0" fontId="3" fillId="36" borderId="0" xfId="0" applyFont="1" applyFill="1" applyAlignment="1">
      <alignment horizontal="right" wrapText="1"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left" vertical="center" wrapText="1"/>
    </xf>
    <xf numFmtId="192" fontId="8" fillId="0" borderId="19" xfId="0" applyNumberFormat="1" applyFont="1" applyFill="1" applyBorder="1" applyAlignment="1">
      <alignment horizontal="right"/>
    </xf>
    <xf numFmtId="192" fontId="8" fillId="0" borderId="19" xfId="0" applyNumberFormat="1" applyFont="1" applyFill="1" applyBorder="1" applyAlignment="1">
      <alignment horizontal="right" wrapText="1"/>
    </xf>
    <xf numFmtId="0" fontId="65" fillId="36" borderId="0" xfId="0" applyFont="1" applyFill="1" applyAlignment="1">
      <alignment horizontal="center"/>
    </xf>
    <xf numFmtId="0" fontId="68" fillId="36" borderId="0" xfId="0" applyFont="1" applyFill="1" applyAlignment="1">
      <alignment wrapText="1"/>
    </xf>
    <xf numFmtId="188" fontId="65" fillId="36" borderId="0" xfId="0" applyNumberFormat="1" applyFont="1" applyFill="1" applyAlignment="1">
      <alignment/>
    </xf>
    <xf numFmtId="188" fontId="68" fillId="36" borderId="0" xfId="0" applyNumberFormat="1" applyFont="1" applyFill="1" applyAlignment="1">
      <alignment/>
    </xf>
    <xf numFmtId="0" fontId="68" fillId="36" borderId="0" xfId="0" applyFont="1" applyFill="1" applyAlignment="1">
      <alignment horizontal="right"/>
    </xf>
    <xf numFmtId="0" fontId="68" fillId="36" borderId="0" xfId="0" applyFont="1" applyFill="1" applyAlignment="1">
      <alignment horizontal="left" vertical="center" wrapText="1"/>
    </xf>
    <xf numFmtId="0" fontId="68" fillId="36" borderId="0" xfId="0" applyFont="1" applyFill="1" applyAlignment="1">
      <alignment horizontal="right" wrapText="1"/>
    </xf>
    <xf numFmtId="0" fontId="65" fillId="36" borderId="10" xfId="0" applyFont="1" applyFill="1" applyBorder="1" applyAlignment="1">
      <alignment/>
    </xf>
    <xf numFmtId="0" fontId="65" fillId="36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2" fontId="18" fillId="0" borderId="10" xfId="0" applyNumberFormat="1" applyFont="1" applyFill="1" applyBorder="1" applyAlignment="1">
      <alignment/>
    </xf>
    <xf numFmtId="192" fontId="17" fillId="0" borderId="1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192" fontId="18" fillId="0" borderId="20" xfId="0" applyNumberFormat="1" applyFont="1" applyFill="1" applyBorder="1" applyAlignment="1">
      <alignment/>
    </xf>
    <xf numFmtId="192" fontId="3" fillId="0" borderId="20" xfId="0" applyNumberFormat="1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92" fontId="12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horizontal="center"/>
    </xf>
    <xf numFmtId="0" fontId="68" fillId="0" borderId="0" xfId="0" applyFont="1" applyFill="1" applyAlignment="1">
      <alignment wrapText="1"/>
    </xf>
    <xf numFmtId="188" fontId="65" fillId="0" borderId="0" xfId="0" applyNumberFormat="1" applyFont="1" applyFill="1" applyAlignment="1">
      <alignment/>
    </xf>
    <xf numFmtId="188" fontId="68" fillId="0" borderId="0" xfId="0" applyNumberFormat="1" applyFont="1" applyFill="1" applyAlignment="1">
      <alignment/>
    </xf>
    <xf numFmtId="0" fontId="68" fillId="0" borderId="0" xfId="0" applyFont="1" applyFill="1" applyAlignment="1">
      <alignment horizontal="right"/>
    </xf>
    <xf numFmtId="0" fontId="68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right" wrapText="1"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3" fillId="0" borderId="0" xfId="0" applyFont="1" applyFill="1" applyAlignment="1">
      <alignment horizontal="justify" wrapText="1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69" fillId="0" borderId="0" xfId="0" applyFont="1" applyFill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 wrapText="1"/>
    </xf>
    <xf numFmtId="49" fontId="4" fillId="36" borderId="24" xfId="0" applyNumberFormat="1" applyFont="1" applyFill="1" applyBorder="1" applyAlignment="1">
      <alignment horizontal="center" vertical="center" wrapText="1"/>
    </xf>
    <xf numFmtId="49" fontId="4" fillId="36" borderId="19" xfId="0" applyNumberFormat="1" applyFont="1" applyFill="1" applyBorder="1" applyAlignment="1">
      <alignment horizontal="center" vertical="center" wrapText="1"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36" borderId="24" xfId="0" applyNumberFormat="1" applyFont="1" applyFill="1" applyBorder="1" applyAlignment="1">
      <alignment horizontal="center" vertical="center" wrapText="1"/>
    </xf>
    <xf numFmtId="49" fontId="27" fillId="36" borderId="19" xfId="0" applyNumberFormat="1" applyFont="1" applyFill="1" applyBorder="1" applyAlignment="1">
      <alignment horizontal="center" vertical="center" wrapText="1"/>
    </xf>
    <xf numFmtId="192" fontId="3" fillId="0" borderId="14" xfId="0" applyNumberFormat="1" applyFont="1" applyFill="1" applyBorder="1" applyAlignment="1">
      <alignment horizontal="center" vertical="center"/>
    </xf>
    <xf numFmtId="192" fontId="3" fillId="0" borderId="24" xfId="0" applyNumberFormat="1" applyFont="1" applyFill="1" applyBorder="1" applyAlignment="1">
      <alignment horizontal="center" vertical="center"/>
    </xf>
    <xf numFmtId="192" fontId="3" fillId="0" borderId="19" xfId="0" applyNumberFormat="1" applyFont="1" applyFill="1" applyBorder="1" applyAlignment="1">
      <alignment horizontal="center" vertical="center"/>
    </xf>
    <xf numFmtId="192" fontId="3" fillId="0" borderId="20" xfId="0" applyNumberFormat="1" applyFont="1" applyFill="1" applyBorder="1" applyAlignment="1">
      <alignment horizontal="center" vertical="center" wrapText="1"/>
    </xf>
    <xf numFmtId="192" fontId="3" fillId="0" borderId="21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horizontal="center" vertical="center" wrapText="1"/>
    </xf>
    <xf numFmtId="192" fontId="3" fillId="0" borderId="22" xfId="0" applyNumberFormat="1" applyFont="1" applyFill="1" applyBorder="1" applyAlignment="1">
      <alignment horizontal="center" vertical="center" wrapText="1"/>
    </xf>
    <xf numFmtId="192" fontId="3" fillId="0" borderId="18" xfId="0" applyNumberFormat="1" applyFont="1" applyFill="1" applyBorder="1" applyAlignment="1">
      <alignment horizontal="center" vertical="center" wrapText="1"/>
    </xf>
    <xf numFmtId="192" fontId="3" fillId="0" borderId="23" xfId="0" applyNumberFormat="1" applyFont="1" applyFill="1" applyBorder="1" applyAlignment="1">
      <alignment horizontal="center" vertical="center" wrapText="1"/>
    </xf>
    <xf numFmtId="0" fontId="69" fillId="36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horizontal="center"/>
    </xf>
    <xf numFmtId="192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11" fillId="36" borderId="0" xfId="0" applyFont="1" applyFill="1" applyAlignment="1">
      <alignment horizontal="left" vertical="center" wrapText="1"/>
    </xf>
    <xf numFmtId="49" fontId="28" fillId="35" borderId="14" xfId="0" applyNumberFormat="1" applyFont="1" applyFill="1" applyBorder="1" applyAlignment="1">
      <alignment horizontal="center" vertical="center" wrapText="1"/>
    </xf>
    <xf numFmtId="49" fontId="28" fillId="35" borderId="24" xfId="0" applyNumberFormat="1" applyFont="1" applyFill="1" applyBorder="1" applyAlignment="1">
      <alignment horizontal="center" vertical="center" wrapText="1"/>
    </xf>
    <xf numFmtId="49" fontId="28" fillId="35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left" vertical="justify" wrapText="1"/>
    </xf>
    <xf numFmtId="0" fontId="26" fillId="0" borderId="0" xfId="0" applyFont="1" applyFill="1" applyAlignment="1">
      <alignment horizontal="center" vertical="center" wrapText="1" shrinkToFit="1"/>
    </xf>
    <xf numFmtId="0" fontId="11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1" name="Line 1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3" name="Line 3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6</xdr:col>
      <xdr:colOff>0</xdr:colOff>
      <xdr:row>7</xdr:row>
      <xdr:rowOff>66675</xdr:rowOff>
    </xdr:to>
    <xdr:sp>
      <xdr:nvSpPr>
        <xdr:cNvPr id="5" name="Line 5"/>
        <xdr:cNvSpPr>
          <a:spLocks/>
        </xdr:cNvSpPr>
      </xdr:nvSpPr>
      <xdr:spPr>
        <a:xfrm>
          <a:off x="6819900" y="11049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681990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564832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15050" y="171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4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6"/>
        <xdr:cNvSpPr>
          <a:spLocks/>
        </xdr:cNvSpPr>
      </xdr:nvSpPr>
      <xdr:spPr>
        <a:xfrm>
          <a:off x="6124575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3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2" name="Line 10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12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4" name="Line 13"/>
        <xdr:cNvSpPr>
          <a:spLocks/>
        </xdr:cNvSpPr>
      </xdr:nvSpPr>
      <xdr:spPr>
        <a:xfrm>
          <a:off x="6819900" y="140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105"/>
  <sheetViews>
    <sheetView view="pageBreakPreview" zoomScale="80" zoomScaleNormal="50" zoomScaleSheetLayoutView="80" zoomScalePageLayoutView="0" workbookViewId="0" topLeftCell="A1">
      <pane xSplit="2" ySplit="8" topLeftCell="C4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B49" sqref="B49"/>
    </sheetView>
  </sheetViews>
  <sheetFormatPr defaultColWidth="7.875" defaultRowHeight="12.75"/>
  <cols>
    <col min="1" max="1" width="6.625" style="14" customWidth="1"/>
    <col min="2" max="2" width="65.125" style="1" customWidth="1"/>
    <col min="3" max="3" width="17.75390625" style="151" customWidth="1"/>
    <col min="4" max="5" width="15.375" style="1" hidden="1" customWidth="1"/>
    <col min="6" max="6" width="11.125" style="7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" hidden="1" customWidth="1"/>
    <col min="20" max="20" width="24.75390625" style="74" customWidth="1"/>
    <col min="21" max="21" width="24.75390625" style="1" customWidth="1"/>
    <col min="22" max="22" width="15.875" style="2" customWidth="1"/>
    <col min="23" max="23" width="15.75390625" style="2" customWidth="1"/>
    <col min="24" max="24" width="9.625" style="1" customWidth="1"/>
    <col min="25" max="16384" width="7.875" style="1" customWidth="1"/>
  </cols>
  <sheetData>
    <row r="1" spans="1:23" ht="18.75">
      <c r="A1" s="14" t="s">
        <v>11</v>
      </c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3"/>
      <c r="V1" s="95"/>
      <c r="W1" s="95"/>
    </row>
    <row r="2" spans="2:23" ht="18.75">
      <c r="B2" s="212" t="s">
        <v>100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95"/>
      <c r="W2" s="95"/>
    </row>
    <row r="3" spans="2:23" ht="18.75">
      <c r="B3" s="212" t="s">
        <v>122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95"/>
      <c r="W3" s="95"/>
    </row>
    <row r="4" spans="2:23" ht="13.5" customHeight="1">
      <c r="B4" s="213"/>
      <c r="C4" s="213"/>
      <c r="D4" s="213"/>
      <c r="E4" s="213"/>
      <c r="F4" s="213"/>
      <c r="U4" s="74" t="s">
        <v>54</v>
      </c>
      <c r="V4" s="95"/>
      <c r="W4" s="95"/>
    </row>
    <row r="5" spans="1:23" ht="42" customHeight="1">
      <c r="A5" s="117"/>
      <c r="B5" s="3"/>
      <c r="C5" s="214" t="s">
        <v>1</v>
      </c>
      <c r="D5" s="209" t="s">
        <v>110</v>
      </c>
      <c r="E5" s="210"/>
      <c r="F5" s="211"/>
      <c r="G5" s="194" t="s">
        <v>121</v>
      </c>
      <c r="H5" s="195"/>
      <c r="I5" s="196"/>
      <c r="J5" s="188" t="s">
        <v>109</v>
      </c>
      <c r="K5" s="189"/>
      <c r="L5" s="190"/>
      <c r="M5" s="188" t="s">
        <v>112</v>
      </c>
      <c r="N5" s="189"/>
      <c r="O5" s="190"/>
      <c r="P5" s="188" t="s">
        <v>113</v>
      </c>
      <c r="Q5" s="189"/>
      <c r="R5" s="190"/>
      <c r="S5" s="197" t="s">
        <v>114</v>
      </c>
      <c r="T5" s="197" t="s">
        <v>123</v>
      </c>
      <c r="U5" s="191" t="s">
        <v>124</v>
      </c>
      <c r="V5" s="182"/>
      <c r="W5" s="183"/>
    </row>
    <row r="6" spans="1:23" ht="33.75" customHeight="1">
      <c r="A6" s="4" t="s">
        <v>39</v>
      </c>
      <c r="B6" s="4" t="s">
        <v>50</v>
      </c>
      <c r="C6" s="215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8"/>
      <c r="T6" s="198"/>
      <c r="U6" s="192"/>
      <c r="V6" s="184"/>
      <c r="W6" s="185"/>
    </row>
    <row r="7" spans="1:23" ht="26.2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9"/>
      <c r="T7" s="199"/>
      <c r="U7" s="193"/>
      <c r="V7" s="186"/>
      <c r="W7" s="187"/>
    </row>
    <row r="8" spans="1:23" s="7" customFormat="1" ht="43.5" customHeight="1">
      <c r="A8" s="119"/>
      <c r="B8" s="75" t="s">
        <v>55</v>
      </c>
      <c r="C8" s="154">
        <f>SUM(C9:C43)</f>
        <v>168667.9</v>
      </c>
      <c r="D8" s="154">
        <f>населення!D8+льготи!D8+субсидии!D8+'держ.бюджет'!D8+'місц.-район.бюджет'!D8+обласной!D8+'госпрозрахунк.'!D8</f>
        <v>161812.2</v>
      </c>
      <c r="E8" s="154">
        <f>населення!E8+льготи!E8+субсидии!E8+'держ.бюджет'!E8+'місц.-район.бюджет'!E8+обласной!E8+'госпрозрахунк.'!E8</f>
        <v>137785.9</v>
      </c>
      <c r="F8" s="40">
        <f aca="true" t="shared" si="0" ref="F8:F46">E8/D8*100</f>
        <v>85.15173763164951</v>
      </c>
      <c r="G8" s="16">
        <f>населення!G8+льготи!G8+субсидии!G8+'держ.бюджет'!G8+'місц.-район.бюджет'!G8+обласной!G8+'госпрозрахунк.'!G8</f>
        <v>416116.2</v>
      </c>
      <c r="H8" s="16">
        <f>населення!H8+льготи!H8+субсидии!H8+'держ.бюджет'!H8+'місц.-район.бюджет'!H8+обласной!H8+'госпрозрахунк.'!H8</f>
        <v>422148.20000000007</v>
      </c>
      <c r="I8" s="17">
        <f>H8/G8*100</f>
        <v>101.44959508906408</v>
      </c>
      <c r="J8" s="16">
        <f>населення!J8+льготи!J8+субсидии!J8+'держ.бюджет'!J8+'місц.-район.бюджет'!J8+обласной!J8+'госпрозрахунк.'!J8</f>
        <v>38379.399999999994</v>
      </c>
      <c r="K8" s="16">
        <f>населення!K8+льготи!K8+субсидии!K8+'держ.бюджет'!K8+'місц.-район.бюджет'!K8+обласной!K8+'госпрозрахунк.'!K8</f>
        <v>25083.999999999996</v>
      </c>
      <c r="L8" s="17">
        <f>K8/J8*100</f>
        <v>65.35797849888222</v>
      </c>
      <c r="M8" s="16">
        <f>населення!M8+льготи!M8+субсидии!M8+'держ.бюджет'!M8+'місц.-район.бюджет'!M8+обласной!M8+'госпрозрахунк.'!M8</f>
        <v>48430.7</v>
      </c>
      <c r="N8" s="16">
        <f>населення!N8+льготи!N8+субсидии!N8+'держ.бюджет'!N8+'місц.-район.бюджет'!N8+обласной!N8+'госпрозрахунк.'!N8</f>
        <v>39799.700000000004</v>
      </c>
      <c r="O8" s="17">
        <f>N8/M8*100</f>
        <v>82.17865940405571</v>
      </c>
      <c r="P8" s="16">
        <f>населення!P8+льготи!P8+субсидии!P8+'держ.бюджет'!P8+'місц.-район.бюджет'!P8+обласной!P8+'госпрозрахунк.'!P8</f>
        <v>75002.09999999999</v>
      </c>
      <c r="Q8" s="16">
        <f>населення!Q8+льготи!Q8+субсидии!Q8+'держ.бюджет'!Q8+'місц.-район.бюджет'!Q8+обласной!Q8+'госпрозрахунк.'!Q8</f>
        <v>72851.5</v>
      </c>
      <c r="R8" s="17">
        <f>Q8/P8*100</f>
        <v>97.13261362015197</v>
      </c>
      <c r="S8" s="16">
        <f>населення!S8+льготи!S8+субсидии!S8+'держ.бюджет'!S8+'місц.-район.бюджет'!S8+обласной!S8+'госпрозрахунк.'!S8</f>
        <v>32262.9</v>
      </c>
      <c r="T8" s="59">
        <f>населення!T8+льготи!T8+субсидии!T8+'держ.бюджет'!T8+'місц.-район.бюджет'!T8+обласной!T8+'госпрозрахунк.'!T8</f>
        <v>27547.899999999994</v>
      </c>
      <c r="U8" s="59">
        <f aca="true" t="shared" si="1" ref="U8:U23">C8+G8-H8</f>
        <v>162635.8999999999</v>
      </c>
      <c r="V8" s="16"/>
      <c r="W8" s="16"/>
    </row>
    <row r="9" spans="1:24" ht="39.75" customHeight="1">
      <c r="A9" s="120">
        <v>1</v>
      </c>
      <c r="B9" s="23" t="s">
        <v>56</v>
      </c>
      <c r="C9" s="155">
        <f>населення!C9+льготи!C9+субсидии!C9+'держ.бюджет'!C9+'місц.-район.бюджет'!C9+обласной!C9+'госпрозрахунк.'!C9</f>
        <v>12294.1</v>
      </c>
      <c r="D9" s="41">
        <f>населення!D9+льготи!D9+субсидии!D9+'держ.бюджет'!D9+'місц.-район.бюджет'!D9+обласной!D9+'госпрозрахунк.'!D9</f>
        <v>13607.6</v>
      </c>
      <c r="E9" s="41">
        <f>населення!E9+льготи!E9+субсидии!E9+'держ.бюджет'!E9+'місц.-район.бюджет'!E9+обласной!E9+'госпрозрахунк.'!E9</f>
        <v>10959.7</v>
      </c>
      <c r="F9" s="40">
        <f t="shared" si="0"/>
        <v>80.54102119403863</v>
      </c>
      <c r="G9" s="24">
        <f>населення!G9+льготи!G9+субсидии!G9+'держ.бюджет'!G9+'місц.-район.бюджет'!G9+обласной!G9+'госпрозрахунк.'!G9</f>
        <v>35202.100000000006</v>
      </c>
      <c r="H9" s="24">
        <f>населення!H9+льготи!H9+субсидии!H9+'держ.бюджет'!H9+'місц.-район.бюджет'!H9+обласной!H9+'госпрозрахунк.'!H9</f>
        <v>35783</v>
      </c>
      <c r="I9" s="18">
        <f>H9/G9*100</f>
        <v>101.65018564233381</v>
      </c>
      <c r="J9" s="24">
        <f>населення!J9+льготи!J9+субсидии!J9+'держ.бюджет'!J9+'місц.-район.бюджет'!J9+обласной!J9+'госпрозрахунк.'!J9</f>
        <v>3362.6</v>
      </c>
      <c r="K9" s="24">
        <f>населення!K9+льготи!K9+субсидии!K9+'держ.бюджет'!K9+'місц.-район.бюджет'!K9+обласной!K9+'госпрозрахунк.'!K9</f>
        <v>1631.4</v>
      </c>
      <c r="L9" s="18">
        <f>K9/J9*100</f>
        <v>48.51602926307025</v>
      </c>
      <c r="M9" s="24">
        <f>населення!M9+льготи!M9+субсидии!M9+'держ.бюджет'!M9+'місц.-район.бюджет'!M9+обласной!M9+'госпрозрахунк.'!M9</f>
        <v>4063.3</v>
      </c>
      <c r="N9" s="24">
        <f>населення!N9+льготи!N9+субсидии!N9+'держ.бюджет'!N9+'місц.-район.бюджет'!N9+обласной!N9+'госпрозрахунк.'!N9</f>
        <v>3668.6</v>
      </c>
      <c r="O9" s="18">
        <f>N9/M9*100</f>
        <v>90.28622055964364</v>
      </c>
      <c r="P9" s="24">
        <f>населення!P9+льготи!P9+субсидии!P9+'держ.бюджет'!P9+'місц.-район.бюджет'!P9+обласной!P9+'госпрозрахунк.'!P9</f>
        <v>6181.7</v>
      </c>
      <c r="Q9" s="24">
        <f>населення!Q9+льготи!Q9+субсидии!Q9+'держ.бюджет'!Q9+'місц.-район.бюджет'!Q9+обласной!Q9+'госпрозрахунк.'!Q9</f>
        <v>5659.7</v>
      </c>
      <c r="R9" s="18">
        <f>Q9/P9*100</f>
        <v>91.55572091819403</v>
      </c>
      <c r="S9" s="16">
        <f>населення!S9+льготи!S9+субсидии!S9+'держ.бюджет'!S9+'місц.-район.бюджет'!S9+обласной!S9+'госпрозрахунк.'!S9</f>
        <v>2647.900000000001</v>
      </c>
      <c r="T9" s="16">
        <f>G9-H9</f>
        <v>-580.8999999999942</v>
      </c>
      <c r="U9" s="16">
        <f t="shared" si="1"/>
        <v>11713.200000000004</v>
      </c>
      <c r="V9" s="24"/>
      <c r="W9" s="24"/>
      <c r="X9" s="9"/>
    </row>
    <row r="10" spans="1:23" ht="44.25" customHeight="1">
      <c r="A10" s="120">
        <v>2</v>
      </c>
      <c r="B10" s="53" t="s">
        <v>91</v>
      </c>
      <c r="C10" s="155">
        <f>населення!C10+льготи!C10+субсидии!C10+'держ.бюджет'!C10+'місц.-район.бюджет'!C10+обласной!C10+'госпрозрахунк.'!C10</f>
        <v>14.000000000000004</v>
      </c>
      <c r="D10" s="41">
        <f>населення!D10+льготи!D10+субсидии!D10+'держ.бюджет'!D10+'місц.-район.бюджет'!D10+обласной!D10+'госпрозрахунк.'!D10</f>
        <v>2006.5000000000002</v>
      </c>
      <c r="E10" s="41">
        <f>населення!E10+льготи!E10+субсидии!E10+'держ.бюджет'!E10+'місц.-район.бюджет'!E10+обласной!E10+'госпрозрахунк.'!E10</f>
        <v>2102.5000000000005</v>
      </c>
      <c r="F10" s="40">
        <f t="shared" si="0"/>
        <v>104.7844505357588</v>
      </c>
      <c r="G10" s="24">
        <f>населення!G10+льготи!G10+субсидии!G10+'держ.бюджет'!G10+'місц.-район.бюджет'!G10+обласной!G10+'госпрозрахунк.'!G10</f>
        <v>4883.5</v>
      </c>
      <c r="H10" s="24">
        <f>населення!H10+льготи!H10+субсидии!H10+'держ.бюджет'!H10+'місц.-район.бюджет'!H10+обласной!H10+'госпрозрахунк.'!H10</f>
        <v>5190.500000000001</v>
      </c>
      <c r="I10" s="18">
        <f>H10/G10*100</f>
        <v>106.28647486433911</v>
      </c>
      <c r="J10" s="24">
        <f>населення!J10+льготи!J10+субсидии!J10+'держ.бюджет'!J10+'місц.-район.бюджет'!J10+обласной!J10+'госпрозрахунк.'!J10</f>
        <v>358.79999999999995</v>
      </c>
      <c r="K10" s="24">
        <f>населення!K10+льготи!K10+субсидии!K10+'держ.бюджет'!K10+'місц.-район.бюджет'!K10+обласной!K10+'госпрозрахунк.'!K10</f>
        <v>210.5</v>
      </c>
      <c r="L10" s="18">
        <f aca="true" t="shared" si="2" ref="L10:L23">K10/J10*100</f>
        <v>58.66778149386845</v>
      </c>
      <c r="M10" s="24">
        <f>населення!M10+льготи!M10+субсидии!M10+'держ.бюджет'!M10+'місц.-район.бюджет'!M10+обласной!M10+'госпрозрахунк.'!M10</f>
        <v>546.8000000000001</v>
      </c>
      <c r="N10" s="24">
        <f>населення!N10+льготи!N10+субсидии!N10+'держ.бюджет'!N10+'місц.-район.бюджет'!N10+обласной!N10+'госпрозрахунк.'!N10</f>
        <v>768.8000000000001</v>
      </c>
      <c r="O10" s="18">
        <f aca="true" t="shared" si="3" ref="O10:O29">N10/M10*100</f>
        <v>140.5998536942209</v>
      </c>
      <c r="P10" s="24">
        <f>населення!P10+льготи!P10+субсидии!P10+'держ.бюджет'!P10+'місц.-район.бюджет'!P10+обласной!P10+'госпрозрахунк.'!P10</f>
        <v>1100.9</v>
      </c>
      <c r="Q10" s="24">
        <f>населення!Q10+льготи!Q10+субсидии!Q10+'держ.бюджет'!Q10+'місц.-район.бюджет'!Q10+обласной!Q10+'госпрозрахунк.'!Q10</f>
        <v>1123.1999999999998</v>
      </c>
      <c r="R10" s="18">
        <f aca="true" t="shared" si="4" ref="R10:R29">Q10/P10*100</f>
        <v>102.02561540557721</v>
      </c>
      <c r="S10" s="16">
        <f>населення!S10+льготи!S10+субсидии!S10+'держ.бюджет'!S10+'місц.-район.бюджет'!S10+обласной!S10+'госпрозрахунк.'!S10</f>
        <v>-96.00000000000017</v>
      </c>
      <c r="T10" s="16">
        <f aca="true" t="shared" si="5" ref="T10:T29">G10-H10</f>
        <v>-307.0000000000009</v>
      </c>
      <c r="U10" s="16">
        <f t="shared" si="1"/>
        <v>-293.0000000000009</v>
      </c>
      <c r="V10" s="24"/>
      <c r="W10" s="24"/>
    </row>
    <row r="11" spans="1:23" ht="41.25" customHeight="1">
      <c r="A11" s="120">
        <v>3</v>
      </c>
      <c r="B11" s="25" t="s">
        <v>108</v>
      </c>
      <c r="C11" s="155">
        <f>населення!C11+льготи!C11+субсидии!C11+'держ.бюджет'!C11+'місц.-район.бюджет'!C11+обласной!C11+'госпрозрахунк.'!C11</f>
        <v>0</v>
      </c>
      <c r="D11" s="41">
        <f>населення!D11+льготи!D11+субсидии!D11+'держ.бюджет'!D11+'місц.-район.бюджет'!D11+обласной!D11+'госпрозрахунк.'!D11</f>
        <v>442.79999999999995</v>
      </c>
      <c r="E11" s="41">
        <f>населення!E11+льготи!E11+субсидии!E11+'держ.бюджет'!E11+'місц.-район.бюджет'!E11+обласной!E11+'госпрозрахунк.'!E11</f>
        <v>466</v>
      </c>
      <c r="F11" s="40">
        <f t="shared" si="0"/>
        <v>105.23938572719062</v>
      </c>
      <c r="G11" s="24">
        <f>населення!G11+льготи!G11+субсидии!G11+'держ.бюджет'!G11+'місц.-район.бюджет'!G11+обласной!G11+'госпрозрахунк.'!G11</f>
        <v>1512.7</v>
      </c>
      <c r="H11" s="24">
        <f>населення!H11+льготи!H11+субсидии!H11+'держ.бюджет'!H11+'місц.-район.бюджет'!H11+обласной!H11+'госпрозрахунк.'!H11</f>
        <v>1512.7</v>
      </c>
      <c r="I11" s="18">
        <f aca="true" t="shared" si="6" ref="I11:I23">H11/G11*100</f>
        <v>100</v>
      </c>
      <c r="J11" s="24">
        <f>населення!J11+льготи!J11+субсидии!J11+'держ.бюджет'!J11+'місц.-район.бюджет'!J11+обласной!J11+'госпрозрахунк.'!J11</f>
        <v>62.5</v>
      </c>
      <c r="K11" s="24">
        <f>населення!K11+льготи!K11+субсидии!K11+'держ.бюджет'!K11+'місц.-район.бюджет'!K11+обласной!K11+'госпрозрахунк.'!K11</f>
        <v>85.7</v>
      </c>
      <c r="L11" s="18">
        <f t="shared" si="2"/>
        <v>137.12</v>
      </c>
      <c r="M11" s="24">
        <f>населення!M11+льготи!M11+субсидии!M11+'держ.бюджет'!M11+'місц.-район.бюджет'!M11+обласной!M11+'госпрозрахунк.'!M11</f>
        <v>0</v>
      </c>
      <c r="N11" s="24">
        <f>населення!N11+льготи!N11+субсидии!N11+'держ.бюджет'!N11+'місц.-район.бюджет'!N11+обласной!N11+'госпрозрахунк.'!N11</f>
        <v>0</v>
      </c>
      <c r="O11" s="18" t="e">
        <f t="shared" si="3"/>
        <v>#DIV/0!</v>
      </c>
      <c r="P11" s="24">
        <f>населення!P11+льготи!P11+субсидии!P11+'держ.бюджет'!P11+'місц.-район.бюджет'!P11+обласной!P11+'госпрозрахунк.'!P11</f>
        <v>380.3</v>
      </c>
      <c r="Q11" s="24">
        <f>населення!Q11+льготи!Q11+субсидии!Q11+'держ.бюджет'!Q11+'місц.-район.бюджет'!Q11+обласной!Q11+'госпрозрахунк.'!Q11</f>
        <v>380.3</v>
      </c>
      <c r="R11" s="18">
        <f t="shared" si="4"/>
        <v>100</v>
      </c>
      <c r="S11" s="16">
        <f>населення!S11+льготи!S11+субсидии!S11+'держ.бюджет'!S11+'місц.-район.бюджет'!S11+обласной!S11+'госпрозрахунк.'!S11</f>
        <v>0</v>
      </c>
      <c r="T11" s="16">
        <f t="shared" si="5"/>
        <v>0</v>
      </c>
      <c r="U11" s="16">
        <f t="shared" si="1"/>
        <v>0</v>
      </c>
      <c r="V11" s="24"/>
      <c r="W11" s="24"/>
    </row>
    <row r="12" spans="1:23" ht="24" customHeight="1">
      <c r="A12" s="120">
        <v>4</v>
      </c>
      <c r="B12" s="23" t="s">
        <v>57</v>
      </c>
      <c r="C12" s="155">
        <f>населення!C12+льготи!C12+субсидии!C12+'держ.бюджет'!C12+'місц.-район.бюджет'!C12+обласной!C12+'госпрозрахунк.'!C12</f>
        <v>159</v>
      </c>
      <c r="D12" s="41">
        <f>населення!D12+льготи!D12+субсидии!D12+'держ.бюджет'!D12+'місц.-район.бюджет'!D12+обласной!D12+'госпрозрахунк.'!D12</f>
        <v>703.3000000000001</v>
      </c>
      <c r="E12" s="41">
        <f>населення!E12+льготи!E12+субсидии!E12+'держ.бюджет'!E12+'місц.-район.бюджет'!E12+обласной!E12+'госпрозрахунк.'!E12</f>
        <v>763.0999999999999</v>
      </c>
      <c r="F12" s="40">
        <f t="shared" si="0"/>
        <v>108.50277264325321</v>
      </c>
      <c r="G12" s="24">
        <f>населення!G12+льготи!G12+субсидии!G12+'держ.бюджет'!G12+'місц.-район.бюджет'!G12+обласной!G12+'госпрозрахунк.'!G12</f>
        <v>1528.2999999999997</v>
      </c>
      <c r="H12" s="24">
        <f>населення!H12+льготи!H12+субсидии!H12+'держ.бюджет'!H12+'місц.-район.бюджет'!H12+обласной!H12+'госпрозрахунк.'!H12</f>
        <v>1675.1</v>
      </c>
      <c r="I12" s="18">
        <f t="shared" si="6"/>
        <v>109.60544395733822</v>
      </c>
      <c r="J12" s="24">
        <f>населення!J12+льготи!J12+субсидии!J12+'держ.бюджет'!J12+'місц.-район.бюджет'!J12+обласной!J12+'госпрозрахунк.'!J12</f>
        <v>166.6</v>
      </c>
      <c r="K12" s="24">
        <f>населення!K12+льготи!K12+субсидии!K12+'держ.бюджет'!K12+'місц.-район.бюджет'!K12+обласной!K12+'госпрозрахунк.'!K12</f>
        <v>2.8</v>
      </c>
      <c r="L12" s="18">
        <f t="shared" si="2"/>
        <v>1.680672268907563</v>
      </c>
      <c r="M12" s="24">
        <f>населення!M12+льготи!M12+субсидии!M12+'держ.бюджет'!M12+'місц.-район.бюджет'!M12+обласной!M12+'госпрозрахунк.'!M12</f>
        <v>114.89999999999999</v>
      </c>
      <c r="N12" s="24">
        <f>населення!N12+льготи!N12+субсидии!N12+'держ.бюджет'!N12+'місц.-район.бюджет'!N12+обласной!N12+'госпрозрахунк.'!N12</f>
        <v>204.4</v>
      </c>
      <c r="O12" s="18">
        <f t="shared" si="3"/>
        <v>177.89382071366407</v>
      </c>
      <c r="P12" s="24">
        <f>населення!P12+льготи!P12+субсидии!P12+'держ.бюджет'!P12+'місц.-район.бюджет'!P12+обласной!P12+'госпрозрахунк.'!P12</f>
        <v>421.8</v>
      </c>
      <c r="Q12" s="24">
        <f>населення!Q12+льготи!Q12+субсидии!Q12+'держ.бюджет'!Q12+'місц.-район.бюджет'!Q12+обласной!Q12+'госпрозрахунк.'!Q12</f>
        <v>555.9</v>
      </c>
      <c r="R12" s="18">
        <f t="shared" si="4"/>
        <v>131.79231863442388</v>
      </c>
      <c r="S12" s="16">
        <f>населення!S12+льготи!S12+субсидии!S12+'держ.бюджет'!S12+'місц.-район.бюджет'!S12+обласной!S12+'госпрозрахунк.'!S12</f>
        <v>-59.79999999999996</v>
      </c>
      <c r="T12" s="16">
        <f t="shared" si="5"/>
        <v>-146.80000000000018</v>
      </c>
      <c r="U12" s="16">
        <f t="shared" si="1"/>
        <v>12.199999999999818</v>
      </c>
      <c r="V12" s="24"/>
      <c r="W12" s="24"/>
    </row>
    <row r="13" spans="1:23" ht="24" customHeight="1">
      <c r="A13" s="121">
        <v>5</v>
      </c>
      <c r="B13" s="23" t="s">
        <v>89</v>
      </c>
      <c r="C13" s="155">
        <f>населення!C13+льготи!C13+субсидии!C13+'держ.бюджет'!C13+'місц.-район.бюджет'!C13+обласной!C13+'госпрозрахунк.'!C13</f>
        <v>3072.7999999999997</v>
      </c>
      <c r="D13" s="41">
        <f>населення!D13+льготи!D13+субсидии!D13+'держ.бюджет'!D13+'місц.-район.бюджет'!D13+обласной!D13+'госпрозрахунк.'!D13</f>
        <v>3475.4</v>
      </c>
      <c r="E13" s="41">
        <f>населення!E13+льготи!E13+субсидии!E13+'держ.бюджет'!E13+'місц.-район.бюджет'!E13+обласной!E13+'госпрозрахунк.'!E13</f>
        <v>1923.2</v>
      </c>
      <c r="F13" s="40">
        <f t="shared" si="0"/>
        <v>55.33751510617483</v>
      </c>
      <c r="G13" s="24">
        <f>населення!G13+льготи!G13+субсидии!G13+'держ.бюджет'!G13+'місц.-район.бюджет'!G13+обласной!G13+'госпрозрахунк.'!G13</f>
        <v>7759.6</v>
      </c>
      <c r="H13" s="24">
        <f>населення!H13+льготи!H13+субсидии!H13+'держ.бюджет'!H13+'місц.-район.бюджет'!H13+обласной!H13+'госпрозрахунк.'!H13</f>
        <v>8127.599999999999</v>
      </c>
      <c r="I13" s="18">
        <f t="shared" si="6"/>
        <v>104.74251250064435</v>
      </c>
      <c r="J13" s="24">
        <f>населення!J13+льготи!J13+субсидии!J13+'держ.бюджет'!J13+'місц.-район.бюджет'!J13+обласной!J13+'госпрозрахунк.'!J13</f>
        <v>703.8</v>
      </c>
      <c r="K13" s="24">
        <f>населення!K13+льготи!K13+субсидии!K13+'держ.бюджет'!K13+'місц.-район.бюджет'!K13+обласной!K13+'госпрозрахунк.'!K13</f>
        <v>62.900000000000006</v>
      </c>
      <c r="L13" s="18">
        <f t="shared" si="2"/>
        <v>8.93719806763285</v>
      </c>
      <c r="M13" s="24">
        <f>населення!M13+льготи!M13+субсидии!M13+'держ.бюджет'!M13+'місц.-район.бюджет'!M13+обласной!M13+'госпрозрахунк.'!M13</f>
        <v>1031.5</v>
      </c>
      <c r="N13" s="24">
        <f>населення!N13+льготи!N13+субсидии!N13+'держ.бюджет'!N13+'місц.-район.бюджет'!N13+обласной!N13+'госпрозрахунк.'!N13</f>
        <v>416.19999999999993</v>
      </c>
      <c r="O13" s="18">
        <f t="shared" si="3"/>
        <v>40.34900630150266</v>
      </c>
      <c r="P13" s="24">
        <f>населення!P13+льготи!P13+субсидии!P13+'держ.бюджет'!P13+'місц.-район.бюджет'!P13+обласной!P13+'госпрозрахунк.'!P13</f>
        <v>1740.1000000000001</v>
      </c>
      <c r="Q13" s="24">
        <f>населення!Q13+льготи!Q13+субсидии!Q13+'держ.бюджет'!Q13+'місц.-район.бюджет'!Q13+обласной!Q13+'госпрозрахунк.'!Q13</f>
        <v>1444.1</v>
      </c>
      <c r="R13" s="18">
        <f t="shared" si="4"/>
        <v>82.9894833630251</v>
      </c>
      <c r="S13" s="16">
        <f>населення!S13+льготи!S13+субсидии!S13+'держ.бюджет'!S13+'місц.-район.бюджет'!S13+'госпрозрахунк.'!S13</f>
        <v>1552.2</v>
      </c>
      <c r="T13" s="16">
        <f t="shared" si="5"/>
        <v>-367.9999999999991</v>
      </c>
      <c r="U13" s="16">
        <f t="shared" si="1"/>
        <v>2704.8</v>
      </c>
      <c r="V13" s="24"/>
      <c r="W13" s="24"/>
    </row>
    <row r="14" spans="1:23" ht="24" customHeight="1">
      <c r="A14" s="120">
        <v>6</v>
      </c>
      <c r="B14" s="23" t="s">
        <v>58</v>
      </c>
      <c r="C14" s="155">
        <f>населення!C14+льготи!C14+субсидии!C14+'держ.бюджет'!C14+'місц.-район.бюджет'!C14+обласной!C14+'госпрозрахунк.'!C14</f>
        <v>605.4</v>
      </c>
      <c r="D14" s="41">
        <f>населення!D14+льготи!D14+субсидии!D14+'держ.бюджет'!D14+'місц.-район.бюджет'!D14+обласной!D14+'госпрозрахунк.'!D14</f>
        <v>1827.9</v>
      </c>
      <c r="E14" s="41">
        <f>населення!E14+льготи!E14+субсидии!E14+'держ.бюджет'!E14+'місц.-район.бюджет'!E14+обласной!E14+'госпрозрахунк.'!E14</f>
        <v>1434.6999999999998</v>
      </c>
      <c r="F14" s="40">
        <f t="shared" si="0"/>
        <v>78.48897642102959</v>
      </c>
      <c r="G14" s="24">
        <f>населення!G14+льготи!G14+субсидии!G14+'держ.бюджет'!G14+'місц.-район.бюджет'!G14+обласной!G14+'госпрозрахунк.'!G14</f>
        <v>3056.7999999999997</v>
      </c>
      <c r="H14" s="24">
        <f>населення!H14+льготи!H14+субсидии!H14+'держ.бюджет'!H14+'місц.-район.бюджет'!H14+обласной!H14+'госпрозрахунк.'!H14</f>
        <v>2699</v>
      </c>
      <c r="I14" s="18">
        <f t="shared" si="6"/>
        <v>88.29494896623922</v>
      </c>
      <c r="J14" s="24">
        <f>населення!J14+льготи!J14+субсидии!J14+'держ.бюджет'!J14+'місц.-район.бюджет'!J14+обласной!J14+'госпрозрахунк.'!J14</f>
        <v>367.40000000000003</v>
      </c>
      <c r="K14" s="24">
        <f>населення!K14+льготи!K14+субсидии!K14+'держ.бюджет'!K14+'місц.-район.бюджет'!K14+обласной!K14+'госпрозрахунк.'!K14</f>
        <v>71.6</v>
      </c>
      <c r="L14" s="18">
        <f t="shared" si="2"/>
        <v>19.48829613500272</v>
      </c>
      <c r="M14" s="24">
        <f>населення!M14+льготи!M14+субсидии!M14+'держ.бюджет'!M14+'місц.-район.бюджет'!M14+обласной!M14+'госпрозрахунк.'!M14</f>
        <v>547.3</v>
      </c>
      <c r="N14" s="24">
        <f>населення!N14+льготи!N14+субсидии!N14+'держ.бюджет'!N14+'місц.-район.бюджет'!N14+обласной!N14+'госпрозрахунк.'!N14</f>
        <v>375.20000000000005</v>
      </c>
      <c r="O14" s="18">
        <f t="shared" si="3"/>
        <v>68.55472318655218</v>
      </c>
      <c r="P14" s="24">
        <f>населення!P14+льготи!P14+субсидии!P14+'держ.бюджет'!P14+'місц.-район.бюджет'!P14+обласной!P14+'госпрозрахунк.'!P14</f>
        <v>913.2</v>
      </c>
      <c r="Q14" s="24">
        <f>населення!Q14+льготи!Q14+субсидии!Q14+'держ.бюджет'!Q14+'місц.-район.бюджет'!Q14+обласной!Q14+'госпрозрахунк.'!Q14</f>
        <v>987.9</v>
      </c>
      <c r="R14" s="18">
        <f t="shared" si="4"/>
        <v>108.18002628120892</v>
      </c>
      <c r="S14" s="16">
        <f>населення!S14+льготи!S14+субсидии!S14+'держ.бюджет'!S14+'місц.-район.бюджет'!S14+'госпрозрахунк.'!S14</f>
        <v>393.2000000000001</v>
      </c>
      <c r="T14" s="16">
        <f t="shared" si="5"/>
        <v>357.7999999999997</v>
      </c>
      <c r="U14" s="16">
        <f t="shared" si="1"/>
        <v>963.1999999999998</v>
      </c>
      <c r="V14" s="24"/>
      <c r="W14" s="24"/>
    </row>
    <row r="15" spans="1:23" ht="24" customHeight="1">
      <c r="A15" s="120">
        <v>7</v>
      </c>
      <c r="B15" s="23" t="s">
        <v>59</v>
      </c>
      <c r="C15" s="155">
        <f>населення!C15+льготи!C15+субсидии!C15+'держ.бюджет'!C15+'місц.-район.бюджет'!C15+обласной!C15+'госпрозрахунк.'!C15</f>
        <v>-65.89999999999999</v>
      </c>
      <c r="D15" s="41">
        <f>населення!D15+льготи!D15+субсидии!D15+'держ.бюджет'!D15+'місц.-район.бюджет'!D15+обласной!D15+'госпрозрахунк.'!D15</f>
        <v>1490.0000000000002</v>
      </c>
      <c r="E15" s="41">
        <f>населення!E15+льготи!E15+субсидии!E15+'держ.бюджет'!E15+'місц.-район.бюджет'!E15+обласной!E15+'госпрозрахунк.'!E15</f>
        <v>1520.2</v>
      </c>
      <c r="F15" s="40">
        <f t="shared" si="0"/>
        <v>102.02684563758389</v>
      </c>
      <c r="G15" s="24">
        <f>населення!G15+льготи!G15+субсидии!G15+'держ.бюджет'!G15+'місц.-район.бюджет'!G15+обласной!G15+'госпрозрахунк.'!G15</f>
        <v>3151.6</v>
      </c>
      <c r="H15" s="24">
        <f>населення!H15+льготи!H15+субсидии!H15+'держ.бюджет'!H15+'місц.-район.бюджет'!H15+обласной!H15+'госпрозрахунк.'!H15</f>
        <v>2738.5</v>
      </c>
      <c r="I15" s="18">
        <f t="shared" si="6"/>
        <v>86.8923721284427</v>
      </c>
      <c r="J15" s="24">
        <f>населення!J15+льготи!J15+субсидии!J15+'держ.бюджет'!J15+'місц.-район.бюджет'!J15+обласной!J15+'госпрозрахунк.'!J15</f>
        <v>283.7</v>
      </c>
      <c r="K15" s="24">
        <f>населення!K15+льготи!K15+субсидии!K15+'держ.бюджет'!K15+'місц.-район.бюджет'!K15+обласной!K15+'госпрозрахунк.'!K15</f>
        <v>270.6</v>
      </c>
      <c r="L15" s="18">
        <f t="shared" si="2"/>
        <v>95.38244624603456</v>
      </c>
      <c r="M15" s="24">
        <f>населення!M15+льготи!M15+субсидии!M15+'держ.бюджет'!M15+'місц.-район.бюджет'!M15+обласной!M15+'госпрозрахунк.'!M15</f>
        <v>354.8</v>
      </c>
      <c r="N15" s="24">
        <f>населення!N15+льготи!N15+субсидии!N15+'держ.бюджет'!N15+'місц.-район.бюджет'!N15+обласной!N15+'госпрозрахунк.'!N15</f>
        <v>365.5</v>
      </c>
      <c r="O15" s="18">
        <f t="shared" si="3"/>
        <v>103.01578354002254</v>
      </c>
      <c r="P15" s="24">
        <f>населення!P15+льготи!P15+субсидии!P15+'держ.бюджет'!P15+'місц.-район.бюджет'!P15+обласной!P15+'госпрозрахунк.'!P15</f>
        <v>851.5</v>
      </c>
      <c r="Q15" s="24">
        <f>населення!Q15+льготи!Q15+субсидии!Q15+'держ.бюджет'!Q15+'місц.-район.бюджет'!Q15+обласной!Q15+'госпрозрахунк.'!Q15</f>
        <v>884.1000000000001</v>
      </c>
      <c r="R15" s="18">
        <f t="shared" si="4"/>
        <v>103.82853787433942</v>
      </c>
      <c r="S15" s="16">
        <f>населення!S15+льготи!S15+субсидии!S15+'держ.бюджет'!S15+'місц.-район.бюджет'!S15+'госпрозрахунк.'!S15</f>
        <v>-30.200000000000006</v>
      </c>
      <c r="T15" s="16">
        <f t="shared" si="5"/>
        <v>413.0999999999999</v>
      </c>
      <c r="U15" s="16">
        <f t="shared" si="1"/>
        <v>347.1999999999998</v>
      </c>
      <c r="V15" s="24"/>
      <c r="W15" s="24"/>
    </row>
    <row r="16" spans="1:23" ht="24" customHeight="1">
      <c r="A16" s="120">
        <v>8</v>
      </c>
      <c r="B16" s="23" t="s">
        <v>60</v>
      </c>
      <c r="C16" s="155">
        <f>населення!C16+льготи!C16+субсидии!C16+'держ.бюджет'!C16+'місц.-район.бюджет'!C16+обласной!C16+'госпрозрахунк.'!C16</f>
        <v>631.2</v>
      </c>
      <c r="D16" s="41">
        <f>населення!D16+льготи!D16+субсидии!D16+'держ.бюджет'!D16+'місц.-район.бюджет'!D16+обласной!D16+'госпрозрахунк.'!D16</f>
        <v>6232.3</v>
      </c>
      <c r="E16" s="41">
        <f>населення!E16+льготи!E16+субсидии!E16+'держ.бюджет'!E16+'місц.-район.бюджет'!E16+обласной!E16+'госпрозрахунк.'!E16</f>
        <v>7534.299999999999</v>
      </c>
      <c r="F16" s="40">
        <f t="shared" si="0"/>
        <v>120.89116377581308</v>
      </c>
      <c r="G16" s="24">
        <f>населення!G16+льготи!G16+субсидии!G16+'держ.бюджет'!G16+'місц.-район.бюджет'!G16+обласной!G16+'госпрозрахунк.'!G16</f>
        <v>13452.4</v>
      </c>
      <c r="H16" s="24">
        <f>населення!H16+льготи!H16+субсидии!H16+'держ.бюджет'!H16+'місц.-район.бюджет'!H16+обласной!H16+'госпрозрахунк.'!H16</f>
        <v>12747.3</v>
      </c>
      <c r="I16" s="18">
        <f t="shared" si="6"/>
        <v>94.75855609407986</v>
      </c>
      <c r="J16" s="24">
        <f>населення!J16+льготи!J16+субсидии!J16+'держ.бюджет'!J16+'місц.-район.бюджет'!J16+обласной!J16+'госпрозрахунк.'!J16</f>
        <v>1434.1</v>
      </c>
      <c r="K16" s="24">
        <f>населення!K16+льготи!K16+субсидии!K16+'держ.бюджет'!K16+'місц.-район.бюджет'!K16+обласной!K16+'госпрозрахунк.'!K16</f>
        <v>999.6999999999999</v>
      </c>
      <c r="L16" s="18">
        <f t="shared" si="2"/>
        <v>69.70922529809637</v>
      </c>
      <c r="M16" s="24">
        <f>населення!M16+льготи!M16+субсидии!M16+'держ.бюджет'!M16+'місц.-район.бюджет'!M16+обласной!M16+'госпрозрахунк.'!M16</f>
        <v>1792.3</v>
      </c>
      <c r="N16" s="24">
        <f>населення!N16+льготи!N16+субсидии!N16+'держ.бюджет'!N16+'місц.-район.бюджет'!N16+обласной!N16+'госпрозрахунк.'!N16</f>
        <v>1959.4</v>
      </c>
      <c r="O16" s="18">
        <f t="shared" si="3"/>
        <v>109.32321597946772</v>
      </c>
      <c r="P16" s="24">
        <f>населення!P16+льготи!P16+субсидии!P16+'держ.бюджет'!P16+'місц.-район.бюджет'!P16+обласной!P16+'госпрозрахунк.'!P16</f>
        <v>3005.9000000000005</v>
      </c>
      <c r="Q16" s="24">
        <f>населення!Q16+льготи!Q16+субсидии!Q16+'держ.бюджет'!Q16+'місц.-район.бюджет'!Q16+обласной!Q16+'госпрозрахунк.'!Q16</f>
        <v>4575.2</v>
      </c>
      <c r="R16" s="18">
        <f t="shared" si="4"/>
        <v>152.2073255930004</v>
      </c>
      <c r="S16" s="16">
        <f>населення!S16+льготи!S16+субсидии!S16+'держ.бюджет'!S16+'місц.-район.бюджет'!S16+'госпрозрахунк.'!S16</f>
        <v>-1201.7000000000003</v>
      </c>
      <c r="T16" s="16">
        <f t="shared" si="5"/>
        <v>705.1000000000004</v>
      </c>
      <c r="U16" s="16">
        <f t="shared" si="1"/>
        <v>1336.300000000001</v>
      </c>
      <c r="V16" s="24"/>
      <c r="W16" s="24"/>
    </row>
    <row r="17" spans="1:23" ht="24" customHeight="1">
      <c r="A17" s="121">
        <v>9</v>
      </c>
      <c r="B17" s="23" t="s">
        <v>61</v>
      </c>
      <c r="C17" s="155">
        <f>населення!C17+льготи!C17+субсидии!C17+'держ.бюджет'!C17+'місц.-район.бюджет'!C17+обласной!C17+'госпрозрахунк.'!C17</f>
        <v>316.80000000000007</v>
      </c>
      <c r="D17" s="41">
        <f>населення!D17+льготи!D17+субсидии!D17+'держ.бюджет'!D17+'місц.-район.бюджет'!D17+обласной!D17+'госпрозрахунк.'!D17</f>
        <v>1607.6</v>
      </c>
      <c r="E17" s="41">
        <f>населення!E17+льготи!E17+субсидии!E17+'держ.бюджет'!E17+'місц.-район.бюджет'!E17+обласной!E17+'госпрозрахунк.'!E17</f>
        <v>1593.7</v>
      </c>
      <c r="F17" s="40">
        <f t="shared" si="0"/>
        <v>99.13535705399354</v>
      </c>
      <c r="G17" s="24">
        <f>населення!G17+льготи!G17+субсидии!G17+'держ.бюджет'!G17+'місц.-район.бюджет'!G17+обласной!G17+'госпрозрахунк.'!G17</f>
        <v>3684.9</v>
      </c>
      <c r="H17" s="24">
        <f>населення!H17+льготи!H17+субсидии!H17+'держ.бюджет'!H17+'місц.-район.бюджет'!H17+обласной!H17+'госпрозрахунк.'!H17</f>
        <v>3657.4</v>
      </c>
      <c r="I17" s="18">
        <f t="shared" si="6"/>
        <v>99.25371109121008</v>
      </c>
      <c r="J17" s="24">
        <f>населення!J17+льготи!J17+субсидии!J17+'держ.бюджет'!J17+'місц.-район.бюджет'!J17+обласной!J17+'госпрозрахунк.'!J17</f>
        <v>130.1</v>
      </c>
      <c r="K17" s="24">
        <f>населення!K17+льготи!K17+субсидии!K17+'держ.бюджет'!K17+'місц.-район.бюджет'!K17+обласной!K17+'госпрозрахунк.'!K17</f>
        <v>11.8</v>
      </c>
      <c r="L17" s="18">
        <f t="shared" si="2"/>
        <v>9.069946195234436</v>
      </c>
      <c r="M17" s="24">
        <f>населення!M17+льготи!M17+субсидии!M17+'держ.бюджет'!M17+'місц.-район.бюджет'!M17+обласной!M17+'госпрозрахунк.'!M17</f>
        <v>380.90000000000003</v>
      </c>
      <c r="N17" s="24">
        <f>населення!N17+льготи!N17+субсидии!N17+'держ.бюджет'!N17+'місц.-район.бюджет'!N17+обласной!N17+'госпрозрахунк.'!N17</f>
        <v>363.3</v>
      </c>
      <c r="O17" s="18">
        <f t="shared" si="3"/>
        <v>95.37936466264111</v>
      </c>
      <c r="P17" s="24">
        <f>населення!P17+льготи!P17+субсидии!P17+'держ.бюджет'!P17+'місц.-район.бюджет'!P17+обласной!P17+'госпрозрахунк.'!P17</f>
        <v>1096.6000000000001</v>
      </c>
      <c r="Q17" s="24">
        <f>населення!Q17+льготи!Q17+субсидии!Q17+'держ.бюджет'!Q17+'місц.-район.бюджет'!Q17+обласной!Q17+'госпрозрахунк.'!Q17</f>
        <v>1218.6</v>
      </c>
      <c r="R17" s="18">
        <f t="shared" si="4"/>
        <v>111.12529637060003</v>
      </c>
      <c r="S17" s="16">
        <f>'держ.бюджет'!S17+'місц.-район.бюджет'!S17+'госпрозрахунк.'!S17</f>
        <v>13.900000000000084</v>
      </c>
      <c r="T17" s="16">
        <f t="shared" si="5"/>
        <v>27.5</v>
      </c>
      <c r="U17" s="16">
        <f t="shared" si="1"/>
        <v>344.3000000000002</v>
      </c>
      <c r="V17" s="24">
        <f>-116.4+444.6</f>
        <v>328.20000000000005</v>
      </c>
      <c r="W17" s="24"/>
    </row>
    <row r="18" spans="1:23" ht="24" customHeight="1">
      <c r="A18" s="121">
        <v>10</v>
      </c>
      <c r="B18" s="25" t="s">
        <v>62</v>
      </c>
      <c r="C18" s="155">
        <f>населення!C18+льготи!C18+субсидии!C18+'держ.бюджет'!C18+'місц.-район.бюджет'!C18+обласной!C18+'госпрозрахунк.'!C18</f>
        <v>5282.299999999999</v>
      </c>
      <c r="D18" s="41">
        <f>населення!D18+льготи!D18+субсидии!D18+'держ.бюджет'!D18+'місц.-район.бюджет'!D18+обласной!D18+'госпрозрахунк.'!D18</f>
        <v>2628.4000000000005</v>
      </c>
      <c r="E18" s="41">
        <f>населення!E18+льготи!E18+субсидии!E18+'держ.бюджет'!E18+'місц.-район.бюджет'!E18+обласной!E18+'госпрозрахунк.'!E18</f>
        <v>1475.4</v>
      </c>
      <c r="F18" s="40">
        <f t="shared" si="0"/>
        <v>56.13300867447876</v>
      </c>
      <c r="G18" s="24">
        <f>населення!G18+льготи!G18+субсидии!G18+'держ.бюджет'!G18+'місц.-район.бюджет'!G18+обласной!G18+'госпрозрахунк.'!G18</f>
        <v>7870.5</v>
      </c>
      <c r="H18" s="24">
        <f>населення!H18+льготи!H18+субсидии!H18+'держ.бюджет'!H18+'місц.-район.бюджет'!H18+обласной!H18+'госпрозрахунк.'!H18</f>
        <v>7679.3</v>
      </c>
      <c r="I18" s="18">
        <f t="shared" si="6"/>
        <v>97.57067530652436</v>
      </c>
      <c r="J18" s="24">
        <f>населення!J18+льготи!J18+субсидии!J18+'держ.бюджет'!J18+'місц.-район.бюджет'!J18+обласной!J18+'госпрозрахунк.'!J18</f>
        <v>456.4</v>
      </c>
      <c r="K18" s="24">
        <f>населення!K18+льготи!K18+субсидии!K18+'держ.бюджет'!K18+'місц.-район.бюджет'!K18+обласной!K18+'госпрозрахунк.'!K18</f>
        <v>147.1</v>
      </c>
      <c r="L18" s="18">
        <f t="shared" si="2"/>
        <v>32.23049956178791</v>
      </c>
      <c r="M18" s="24">
        <f>населення!M18+льготи!M18+субсидии!M18+'держ.бюджет'!M18+'місц.-район.бюджет'!M18+обласной!M18+'госпрозрахунк.'!M18</f>
        <v>677.8</v>
      </c>
      <c r="N18" s="24">
        <f>населення!N18+льготи!N18+субсидии!N18+'держ.бюджет'!N18+'місц.-район.бюджет'!N18+обласной!N18+'госпрозрахунк.'!N18</f>
        <v>771.1000000000001</v>
      </c>
      <c r="O18" s="18">
        <f t="shared" si="3"/>
        <v>113.7651224550015</v>
      </c>
      <c r="P18" s="24">
        <f>населення!P18+льготи!P18+субсидии!P18+'держ.бюджет'!P18+'місц.-район.бюджет'!P18+обласной!P18+'госпрозрахунк.'!P18</f>
        <v>1494.2</v>
      </c>
      <c r="Q18" s="24">
        <f>населення!Q18+льготи!Q18+субсидии!Q18+'держ.бюджет'!Q18+'місц.-район.бюджет'!Q18+обласной!Q18+'госпрозрахунк.'!Q18</f>
        <v>557.2</v>
      </c>
      <c r="R18" s="18">
        <f t="shared" si="4"/>
        <v>37.290857984205594</v>
      </c>
      <c r="S18" s="16">
        <f>населення!S18+льготи!S18+субсидии!S18+'держ.бюджет'!S18+'місц.-район.бюджет'!S18+'госпрозрахунк.'!S18</f>
        <v>1153</v>
      </c>
      <c r="T18" s="16">
        <f t="shared" si="5"/>
        <v>191.19999999999982</v>
      </c>
      <c r="U18" s="16">
        <f t="shared" si="1"/>
        <v>5473.499999999999</v>
      </c>
      <c r="V18" s="24"/>
      <c r="W18" s="24"/>
    </row>
    <row r="19" spans="1:23" ht="24" customHeight="1">
      <c r="A19" s="121">
        <v>11</v>
      </c>
      <c r="B19" s="25" t="s">
        <v>63</v>
      </c>
      <c r="C19" s="155">
        <f>населення!C19+льготи!C19+субсидии!C19+'держ.бюджет'!C19+'місц.-район.бюджет'!C19+обласной!C19+'госпрозрахунк.'!C19</f>
        <v>-7.700000000000001</v>
      </c>
      <c r="D19" s="41">
        <f>населення!D19+льготи!D19+субсидии!D19+'держ.бюджет'!D19+'місц.-район.бюджет'!D19+обласной!D19+'госпрозрахунк.'!D19</f>
        <v>677.7</v>
      </c>
      <c r="E19" s="41">
        <f>населення!E19+льготи!E19+субсидии!E19+'держ.бюджет'!E19+'місц.-район.бюджет'!E19+обласной!E19+'госпрозрахунк.'!E19</f>
        <v>796.6</v>
      </c>
      <c r="F19" s="40">
        <f t="shared" si="0"/>
        <v>117.54463626973586</v>
      </c>
      <c r="G19" s="24">
        <f>населення!G19+льготи!G19+субсидии!G19+'держ.бюджет'!G19+'місц.-район.бюджет'!G19+обласной!G19+'госпрозрахунк.'!G19</f>
        <v>1300.6999999999998</v>
      </c>
      <c r="H19" s="24">
        <f>населення!H19+льготи!H19+субсидии!H19+'держ.бюджет'!H19+'місц.-район.бюджет'!H19+обласной!H19+'госпрозрахунк.'!H19</f>
        <v>1251.6999999999998</v>
      </c>
      <c r="I19" s="18">
        <f t="shared" si="6"/>
        <v>96.2327977243023</v>
      </c>
      <c r="J19" s="24">
        <f>населення!J19+льготи!J19+субсидии!J19+'держ.бюджет'!J19+'місц.-район.бюджет'!J19+обласной!J19+'госпрозрахунк.'!J19</f>
        <v>137.3</v>
      </c>
      <c r="K19" s="24">
        <f>населення!K19+льготи!K19+субсидии!K19+'держ.бюджет'!K19+'місц.-район.бюджет'!K19+обласной!K19+'госпрозрахунк.'!K19</f>
        <v>120.80000000000001</v>
      </c>
      <c r="L19" s="18">
        <f t="shared" si="2"/>
        <v>87.98252002913328</v>
      </c>
      <c r="M19" s="24">
        <f>населення!M19+льготи!M19+субсидии!M19+'держ.бюджет'!M19+'місц.-район.бюджет'!M19+обласной!M19+'госпрозрахунк.'!M19</f>
        <v>177.2</v>
      </c>
      <c r="N19" s="24">
        <f>населення!N19+льготи!N19+субсидии!N19+'держ.бюджет'!N19+'місц.-район.бюджет'!N19+обласной!N19+'госпрозрахунк.'!N19</f>
        <v>237.6</v>
      </c>
      <c r="O19" s="18">
        <f t="shared" si="3"/>
        <v>134.08577878103839</v>
      </c>
      <c r="P19" s="24">
        <f>населення!P19+льготи!P19+субсидии!P19+'держ.бюджет'!P19+'місц.-район.бюджет'!P19+обласной!P19+'госпрозрахунк.'!P19</f>
        <v>363.2</v>
      </c>
      <c r="Q19" s="24">
        <f>населення!Q19+льготи!Q19+субсидии!Q19+'держ.бюджет'!Q19+'місц.-район.бюджет'!Q19+обласной!Q19+'госпрозрахунк.'!Q19</f>
        <v>438.2</v>
      </c>
      <c r="R19" s="18">
        <f t="shared" si="4"/>
        <v>120.64977973568283</v>
      </c>
      <c r="S19" s="16">
        <f>населення!S19+льготи!S19+субсидии!S19+'держ.бюджет'!S19+'місц.-район.бюджет'!S19+обласной!S19+'госпрозрахунк.'!S19</f>
        <v>-118.90000000000005</v>
      </c>
      <c r="T19" s="16">
        <f t="shared" si="5"/>
        <v>49</v>
      </c>
      <c r="U19" s="16">
        <f t="shared" si="1"/>
        <v>41.299999999999955</v>
      </c>
      <c r="V19" s="24"/>
      <c r="W19" s="24"/>
    </row>
    <row r="20" spans="1:23" ht="24" customHeight="1">
      <c r="A20" s="121">
        <v>12</v>
      </c>
      <c r="B20" s="23" t="s">
        <v>90</v>
      </c>
      <c r="C20" s="155">
        <f>населення!C20+льготи!C20+субсидии!C20+'держ.бюджет'!C20+'місц.-район.бюджет'!C20+обласной!C20+'госпрозрахунк.'!C20</f>
        <v>1820.3999999999996</v>
      </c>
      <c r="D20" s="41">
        <f>населення!D20+льготи!D20+субсидии!D20+'держ.бюджет'!D20+'місц.-район.бюджет'!D20+обласной!D20+'госпрозрахунк.'!D20</f>
        <v>3897.4999999999995</v>
      </c>
      <c r="E20" s="41">
        <f>населення!E20+льготи!E20+субсидии!E20+'держ.бюджет'!E20+'місц.-район.бюджет'!E20+обласной!E20+'госпрозрахунк.'!E20</f>
        <v>4303.9</v>
      </c>
      <c r="F20" s="40">
        <f t="shared" si="0"/>
        <v>110.42719692110327</v>
      </c>
      <c r="G20" s="24">
        <f>населення!G20+льготи!G20+субсидии!G20+'держ.бюджет'!G20+'місц.-район.бюджет'!G20+обласной!G20+'госпрозрахунк.'!G20</f>
        <v>9453.599999999999</v>
      </c>
      <c r="H20" s="24">
        <f>населення!H20+льготи!H20+субсидии!H20+'держ.бюджет'!H20+'місц.-район.бюджет'!H20+обласной!H20+'госпрозрахунк.'!H20</f>
        <v>9388.1</v>
      </c>
      <c r="I20" s="18">
        <f t="shared" si="6"/>
        <v>99.30714225268683</v>
      </c>
      <c r="J20" s="24">
        <f>населення!J20+льготи!J20+субсидии!J20+'держ.бюджет'!J20+'місц.-район.бюджет'!J20+обласной!J20+'госпрозрахунк.'!J20</f>
        <v>919</v>
      </c>
      <c r="K20" s="24">
        <f>населення!K20+льготи!K20+субсидии!K20+'держ.бюджет'!K20+'місц.-район.бюджет'!K20+обласной!K20+'госпрозрахунк.'!K20</f>
        <v>1051.1</v>
      </c>
      <c r="L20" s="18">
        <f t="shared" si="2"/>
        <v>114.37431991294883</v>
      </c>
      <c r="M20" s="24">
        <f>населення!M20+льготи!M20+субсидии!M20+'держ.бюджет'!M20+'місц.-район.бюджет'!M20+обласной!M20+'госпрозрахунк.'!M20</f>
        <v>1160.9</v>
      </c>
      <c r="N20" s="24">
        <f>населення!N20+льготи!N20+субсидии!N20+'держ.бюджет'!N20+'місц.-район.бюджет'!N20+обласной!N20+'госпрозрахунк.'!N20</f>
        <v>1526</v>
      </c>
      <c r="O20" s="18">
        <f t="shared" si="3"/>
        <v>131.44973727280558</v>
      </c>
      <c r="P20" s="24">
        <f>населення!P20+льготи!P20+субсидии!P20+'держ.бюджет'!P20+'місц.-район.бюджет'!P20+обласной!P20+'госпрозрахунк.'!P20</f>
        <v>1817.6000000000001</v>
      </c>
      <c r="Q20" s="24">
        <f>населення!Q20+льготи!Q20+субсидии!Q20+'держ.бюджет'!Q20+'місц.-район.бюджет'!Q20+обласной!Q20+'госпрозрахунк.'!Q20</f>
        <v>1676.1</v>
      </c>
      <c r="R20" s="18">
        <f t="shared" si="4"/>
        <v>92.21500880281688</v>
      </c>
      <c r="S20" s="16">
        <f>населення!S20+льготи!S20+субсидии!S20+'держ.бюджет'!S20+'місц.-район.бюджет'!S20+обласной!S20+'госпрозрахунк.'!S20</f>
        <v>-406.3999999999997</v>
      </c>
      <c r="T20" s="16">
        <f t="shared" si="5"/>
        <v>65.49999999999818</v>
      </c>
      <c r="U20" s="16">
        <f t="shared" si="1"/>
        <v>1885.8999999999978</v>
      </c>
      <c r="V20" s="24"/>
      <c r="W20" s="24"/>
    </row>
    <row r="21" spans="1:23" ht="24" customHeight="1">
      <c r="A21" s="120">
        <v>13</v>
      </c>
      <c r="B21" s="25" t="s">
        <v>64</v>
      </c>
      <c r="C21" s="155">
        <f>населення!C21+льготи!C21+субсидии!C21+'держ.бюджет'!C21+'місц.-район.бюджет'!C21+обласной!C21+'госпрозрахунк.'!C21</f>
        <v>-27.2</v>
      </c>
      <c r="D21" s="41">
        <f>населення!D21+льготи!D21+субсидии!D21+'держ.бюджет'!D21+'місц.-район.бюджет'!D21+обласной!D21+'госпрозрахунк.'!D21</f>
        <v>1042.1999999999998</v>
      </c>
      <c r="E21" s="41">
        <f>населення!E21+льготи!E21+субсидии!E21+'держ.бюджет'!E21+'місц.-район.бюджет'!E21+обласной!E21+'госпрозрахунк.'!E21</f>
        <v>1141.2</v>
      </c>
      <c r="F21" s="40">
        <f t="shared" si="0"/>
        <v>109.49913644214165</v>
      </c>
      <c r="G21" s="24">
        <f>населення!G21+льготи!G21+субсидии!G21+'держ.бюджет'!G21+'місц.-район.бюджет'!G21+обласной!G21+'госпрозрахунк.'!G21</f>
        <v>0</v>
      </c>
      <c r="H21" s="24">
        <f>населення!H21+льготи!H21+субсидии!H21+'держ.бюджет'!H21+'місц.-район.бюджет'!H21+обласной!H21+'госпрозрахунк.'!H21</f>
        <v>-11.2</v>
      </c>
      <c r="I21" s="130" t="e">
        <f t="shared" si="6"/>
        <v>#DIV/0!</v>
      </c>
      <c r="J21" s="24">
        <f>населення!J21+льготи!J21+субсидии!J21+'держ.бюджет'!J21+'місц.-район.бюджет'!J21+обласной!J21+'госпрозрахунк.'!J21</f>
        <v>170.2</v>
      </c>
      <c r="K21" s="24">
        <f>населення!K21+льготи!K21+субсидии!K21+'держ.бюджет'!K21+'місц.-район.бюджет'!K21+обласной!K21+'госпрозрахунк.'!K21</f>
        <v>168.3</v>
      </c>
      <c r="L21" s="18">
        <f t="shared" si="2"/>
        <v>98.88366627497064</v>
      </c>
      <c r="M21" s="24">
        <f>населення!M21+льготи!M21+субсидии!M21+'держ.бюджет'!M21+'місц.-район.бюджет'!M21+обласной!M21+'госпрозрахунк.'!M21</f>
        <v>293.8</v>
      </c>
      <c r="N21" s="24">
        <f>населення!N21+льготи!N21+субсидии!N21+'держ.бюджет'!N21+'місц.-район.бюджет'!N21+обласной!N21+'госпрозрахунк.'!N21</f>
        <v>370</v>
      </c>
      <c r="O21" s="18">
        <f t="shared" si="3"/>
        <v>125.93601089176309</v>
      </c>
      <c r="P21" s="24">
        <f>населення!P21+льготи!P21+субсидии!P21+'держ.бюджет'!P21+'місц.-район.бюджет'!P21+обласной!P21+'госпрозрахунк.'!P21</f>
        <v>578.2</v>
      </c>
      <c r="Q21" s="24">
        <f>населення!Q21+льготи!Q21+субсидии!Q21+'держ.бюджет'!Q21+'місц.-район.бюджет'!Q21+обласной!Q21+'госпрозрахунк.'!Q21</f>
        <v>602.9</v>
      </c>
      <c r="R21" s="18">
        <f t="shared" si="4"/>
        <v>104.27187824282254</v>
      </c>
      <c r="S21" s="16">
        <f>населення!S21+льготи!S21+субсидии!S21+'держ.бюджет'!S21+'місц.-район.бюджет'!S21+обласной!S21+'госпрозрахунк.'!S21</f>
        <v>-99.00000000000011</v>
      </c>
      <c r="T21" s="16">
        <f t="shared" si="5"/>
        <v>11.2</v>
      </c>
      <c r="U21" s="16">
        <f t="shared" si="1"/>
        <v>-16</v>
      </c>
      <c r="V21" s="24"/>
      <c r="W21" s="24"/>
    </row>
    <row r="22" spans="1:23" ht="24" customHeight="1">
      <c r="A22" s="121">
        <v>14</v>
      </c>
      <c r="B22" s="25" t="s">
        <v>65</v>
      </c>
      <c r="C22" s="155">
        <f>населення!C22+льготи!C22+субсидии!C22+'держ.бюджет'!C22+'місц.-район.бюджет'!C22+обласной!C22+'госпрозрахунк.'!C22</f>
        <v>-280.40000000000003</v>
      </c>
      <c r="D22" s="41">
        <f>населення!D22+льготи!D22+субсидии!D22+'держ.бюджет'!D22+'місц.-район.бюджет'!D22+обласной!D22+'госпрозрахунк.'!D22</f>
        <v>812.3</v>
      </c>
      <c r="E22" s="41">
        <f>населення!E22+льготи!E22+субсидии!E22+'держ.бюджет'!E22+'місц.-район.бюджет'!E22+обласной!E22+'госпрозрахунк.'!E22</f>
        <v>1141.9</v>
      </c>
      <c r="F22" s="40">
        <f t="shared" si="0"/>
        <v>140.57614181952482</v>
      </c>
      <c r="G22" s="24">
        <f>населення!G22+льготи!G22+субсидии!G22+'держ.бюджет'!G22+'місц.-район.бюджет'!G22+обласной!G22+'госпрозрахунк.'!G22</f>
        <v>2379</v>
      </c>
      <c r="H22" s="24">
        <f>населення!H22+льготи!H22+субсидии!H22+'держ.бюджет'!H22+'місц.-район.бюджет'!H22+обласной!H22+'госпрозрахунк.'!H22</f>
        <v>2017.6</v>
      </c>
      <c r="I22" s="18">
        <f t="shared" si="6"/>
        <v>84.80874316939891</v>
      </c>
      <c r="J22" s="24">
        <f>населення!J22+льготи!J22+субсидии!J22+'держ.бюджет'!J22+'місц.-район.бюджет'!J22+обласной!J22+'госпрозрахунк.'!J22</f>
        <v>181.20000000000002</v>
      </c>
      <c r="K22" s="24">
        <f>населення!K22+льготи!K22+субсидии!K22+'держ.бюджет'!K22+'місц.-район.бюджет'!K22+обласной!K22+'госпрозрахунк.'!K22</f>
        <v>217.5</v>
      </c>
      <c r="L22" s="18">
        <f t="shared" si="2"/>
        <v>120.03311258278144</v>
      </c>
      <c r="M22" s="24">
        <f>населення!M22+льготи!M22+субсидии!M22+'держ.бюджет'!M22+'місц.-район.бюджет'!M22+обласной!M22+'госпрозрахунк.'!M22</f>
        <v>286.3</v>
      </c>
      <c r="N22" s="24">
        <f>населення!N22+льготи!N22+субсидии!N22+'держ.бюджет'!N22+'місц.-район.бюджет'!N22+обласной!N22+'госпрозрахунк.'!N22</f>
        <v>281.6</v>
      </c>
      <c r="O22" s="18">
        <f t="shared" si="3"/>
        <v>98.3583653510304</v>
      </c>
      <c r="P22" s="24">
        <f>населення!P22+льготи!P22+субсидии!P22+'держ.бюджет'!P22+'місц.-район.бюджет'!P22+обласной!P22+'госпрозрахунк.'!P22</f>
        <v>344.79999999999995</v>
      </c>
      <c r="Q22" s="24">
        <f>населення!Q22+льготи!Q22+субсидии!Q22+'держ.бюджет'!Q22+'місц.-район.бюджет'!Q22+обласной!Q22+'госпрозрахунк.'!Q22</f>
        <v>642.8</v>
      </c>
      <c r="R22" s="18">
        <f t="shared" si="4"/>
        <v>186.42691415313226</v>
      </c>
      <c r="S22" s="16">
        <f>населення!S22+льготи!S22+субсидии!S22+'держ.бюджет'!S22+'місц.-район.бюджет'!S22+обласной!S22+'госпрозрахунк.'!S22</f>
        <v>-329.6</v>
      </c>
      <c r="T22" s="16">
        <f t="shared" si="5"/>
        <v>361.4000000000001</v>
      </c>
      <c r="U22" s="69">
        <f t="shared" si="1"/>
        <v>81</v>
      </c>
      <c r="V22" s="24">
        <f>U22+U38</f>
        <v>12238.600000000006</v>
      </c>
      <c r="W22" s="24"/>
    </row>
    <row r="23" spans="1:23" ht="36.75" customHeight="1">
      <c r="A23" s="121">
        <v>15</v>
      </c>
      <c r="B23" s="25" t="s">
        <v>66</v>
      </c>
      <c r="C23" s="155">
        <f>населення!C23+льготи!C23+субсидии!C23+'держ.бюджет'!C23+'місц.-район.бюджет'!C23+обласной!C23+'госпрозрахунк.'!C23</f>
        <v>129.9</v>
      </c>
      <c r="D23" s="41">
        <f>населення!D23+льготи!D23+субсидии!D23+'держ.бюджет'!D23+'місц.-район.бюджет'!D23+обласной!D23+'госпрозрахунк.'!D23</f>
        <v>1064.7999999999997</v>
      </c>
      <c r="E23" s="41">
        <f>населення!E23+льготи!E23+субсидии!E23+'держ.бюджет'!E23+'місц.-район.бюджет'!E23+обласной!E23+'госпрозрахунк.'!E23</f>
        <v>1347.6999999999998</v>
      </c>
      <c r="F23" s="40">
        <f t="shared" si="0"/>
        <v>126.56836964688205</v>
      </c>
      <c r="G23" s="24">
        <f>населення!G23+льготи!G23+субсидии!G23+'держ.бюджет'!G23+'місц.-район.бюджет'!G23+обласной!G23+'госпрозрахунк.'!G23</f>
        <v>4037.2</v>
      </c>
      <c r="H23" s="24">
        <f>населення!H23+льготи!H23+субсидии!H23+'держ.бюджет'!H23+'місц.-район.бюджет'!H23+обласной!H23+'госпрозрахунк.'!H23</f>
        <v>4018.7</v>
      </c>
      <c r="I23" s="18">
        <f t="shared" si="6"/>
        <v>99.54176161696225</v>
      </c>
      <c r="J23" s="24">
        <f>населення!J23+льготи!J23+субсидии!J23+'держ.бюджет'!J23+'місц.-район.бюджет'!J23+обласной!J23+'госпрозрахунк.'!J23</f>
        <v>358.09999999999997</v>
      </c>
      <c r="K23" s="24">
        <f>населення!K23+льготи!K23+субсидии!K23+'держ.бюджет'!K23+'місц.-район.бюджет'!K23+обласной!K23+'госпрозрахунк.'!K23</f>
        <v>352.79999999999995</v>
      </c>
      <c r="L23" s="18">
        <f t="shared" si="2"/>
        <v>98.5199664898073</v>
      </c>
      <c r="M23" s="24">
        <f>населення!M23+льготи!M23+субсидии!M23+'держ.бюджет'!M23+'місц.-район.бюджет'!M23+обласной!M23+'госпрозрахунк.'!M23</f>
        <v>18.3</v>
      </c>
      <c r="N23" s="24">
        <f>населення!N23+льготи!N23+субсидии!N23+'держ.бюджет'!N23+'місц.-район.бюджет'!N23+обласной!N23+'госпрозрахунк.'!N23</f>
        <v>18.3</v>
      </c>
      <c r="O23" s="18">
        <f t="shared" si="3"/>
        <v>100</v>
      </c>
      <c r="P23" s="24">
        <f>населення!P23+льготи!P23+субсидии!P23+'держ.бюджет'!P23+'місц.-район.бюджет'!P23+обласной!P23+'госпрозрахунк.'!P23</f>
        <v>688.4</v>
      </c>
      <c r="Q23" s="24">
        <f>населення!Q23+льготи!Q23+субсидии!Q23+'держ.бюджет'!Q23+'місц.-район.бюджет'!Q23+обласной!Q23+'госпрозрахунк.'!Q23</f>
        <v>976.6</v>
      </c>
      <c r="R23" s="18">
        <f t="shared" si="4"/>
        <v>141.8651946542708</v>
      </c>
      <c r="S23" s="16">
        <f>населення!S23+льготи!S23+субсидии!S23+'держ.бюджет'!S23+'місц.-район.бюджет'!S23+'госпрозрахунк.'!S23</f>
        <v>-282.9000000000001</v>
      </c>
      <c r="T23" s="16">
        <f t="shared" si="5"/>
        <v>18.5</v>
      </c>
      <c r="U23" s="16">
        <f t="shared" si="1"/>
        <v>148.39999999999964</v>
      </c>
      <c r="V23" s="24"/>
      <c r="W23" s="24"/>
    </row>
    <row r="24" spans="1:23" ht="24" customHeight="1">
      <c r="A24" s="121">
        <v>16</v>
      </c>
      <c r="B24" s="25" t="s">
        <v>67</v>
      </c>
      <c r="C24" s="156"/>
      <c r="D24" s="206" t="s">
        <v>88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7"/>
      <c r="V24" s="24"/>
      <c r="W24" s="24"/>
    </row>
    <row r="25" spans="1:23" ht="34.5" customHeight="1">
      <c r="A25" s="121">
        <v>17</v>
      </c>
      <c r="B25" s="25" t="s">
        <v>68</v>
      </c>
      <c r="C25" s="155">
        <f>населення!C25+льготи!C25+субсидии!C25+'держ.бюджет'!C25+'місц.-район.бюджет'!C25+обласной!C25+'госпрозрахунк.'!C25</f>
        <v>5098.5</v>
      </c>
      <c r="D25" s="41">
        <f>населення!D25+льготи!D25+субсидии!D25+'держ.бюджет'!D25+'місц.-район.бюджет'!D25+обласной!D25+'госпрозрахунк.'!D25</f>
        <v>10624.8</v>
      </c>
      <c r="E25" s="41">
        <f>населення!E25+льготи!E25+субсидии!E25+'держ.бюджет'!E25+'місц.-район.бюджет'!E25+обласной!E25+'госпрозрахунк.'!E25</f>
        <v>10344</v>
      </c>
      <c r="F25" s="40">
        <f t="shared" si="0"/>
        <v>97.35712672238537</v>
      </c>
      <c r="G25" s="24">
        <f>населення!G25+льготи!G25+субсидии!G25+'держ.бюджет'!G25+'місц.-район.бюджет'!G25+обласной!G25+'госпрозрахунк.'!G25</f>
        <v>16833</v>
      </c>
      <c r="H25" s="24">
        <f>населення!H25+льготи!H25+субсидии!H25+'держ.бюджет'!H25+'місц.-район.бюджет'!H25+обласной!H25+'госпрозрахунк.'!H25</f>
        <v>20260.5</v>
      </c>
      <c r="I25" s="18">
        <f>H25/G25*100</f>
        <v>120.36178934236321</v>
      </c>
      <c r="J25" s="24">
        <f>населення!J25+льготи!J25+субсидии!J25+'держ.бюджет'!J25+'місц.-район.бюджет'!J25+обласной!J25+'госпрозрахунк.'!J25</f>
        <v>2585.2</v>
      </c>
      <c r="K25" s="24">
        <f>населення!K25+льготи!K25+субсидии!K25+'держ.бюджет'!K25+'місц.-район.бюджет'!K25+обласной!K25+'госпрозрахунк.'!K25</f>
        <v>3171.3</v>
      </c>
      <c r="L25" s="18">
        <f>K25/J25*100</f>
        <v>122.67136004951263</v>
      </c>
      <c r="M25" s="24">
        <f>населення!M25+льготи!M25+субсидии!M25+'держ.бюджет'!M25+'місц.-район.бюджет'!M25+обласной!M25+'госпрозрахунк.'!M25</f>
        <v>3223.3</v>
      </c>
      <c r="N25" s="24">
        <f>населення!N25+льготи!N25+субсидии!N25+'держ.бюджет'!N25+'місц.-район.бюджет'!N25+обласной!N25+'госпрозрахунк.'!N25</f>
        <v>2702.3999999999996</v>
      </c>
      <c r="O25" s="18">
        <f t="shared" si="3"/>
        <v>83.83954332516363</v>
      </c>
      <c r="P25" s="24">
        <f>населення!P25+льготи!P25+субсидии!P25+'держ.бюджет'!P25+'місц.-район.бюджет'!P25+обласной!P25+'госпрозрахунк.'!P25</f>
        <v>4816.299999999999</v>
      </c>
      <c r="Q25" s="24">
        <f>населення!Q25+льготи!Q25+субсидии!Q25+'держ.бюджет'!Q25+'місц.-район.бюджет'!Q25+обласной!Q25+'госпрозрахунк.'!Q25</f>
        <v>4470.3</v>
      </c>
      <c r="R25" s="18">
        <f t="shared" si="4"/>
        <v>92.81606212237612</v>
      </c>
      <c r="S25" s="16">
        <f>населення!S25+льготи!S25+субсидии!S25+'держ.бюджет'!S25+'місц.-район.бюджет'!S25+обласной!S25+'госпрозрахунк.'!S25</f>
        <v>280.80000000000035</v>
      </c>
      <c r="T25" s="16">
        <f t="shared" si="5"/>
        <v>-3427.5</v>
      </c>
      <c r="U25" s="16">
        <f>C25+G25-H25</f>
        <v>1671</v>
      </c>
      <c r="V25" s="24"/>
      <c r="W25" s="24"/>
    </row>
    <row r="26" spans="1:23" ht="22.5" customHeight="1">
      <c r="A26" s="121">
        <v>18</v>
      </c>
      <c r="B26" s="23" t="s">
        <v>69</v>
      </c>
      <c r="C26" s="155">
        <f>населення!C26+льготи!C26+субсидии!C26+'держ.бюджет'!C26+'місц.-район.бюджет'!C26+обласной!C26+'госпрозрахунк.'!C26</f>
        <v>299.2</v>
      </c>
      <c r="D26" s="41">
        <f>населення!D26+льготи!D26+субсидии!D26+'держ.бюджет'!D26+'місц.-район.бюджет'!D26+обласной!D26+'госпрозрахунк.'!D26</f>
        <v>1774.5</v>
      </c>
      <c r="E26" s="41">
        <f>населення!E26+льготи!E26+субсидии!E26+'держ.бюджет'!E26+'місц.-район.бюджет'!E26+обласной!E26+'госпрозрахунк.'!E26</f>
        <v>1410.5</v>
      </c>
      <c r="F26" s="40">
        <f t="shared" si="0"/>
        <v>79.48717948717949</v>
      </c>
      <c r="G26" s="24">
        <f>населення!G26+льготи!G26+субсидии!G26+'держ.бюджет'!G26+'місц.-район.бюджет'!G26+обласной!G26+'госпрозрахунк.'!G26</f>
        <v>4897.8</v>
      </c>
      <c r="H26" s="24">
        <f>населення!H26+льготи!H26+субсидии!H26+'держ.бюджет'!H26+'місц.-район.бюджет'!H26+обласной!H26+'госпрозрахунк.'!H26</f>
        <v>4802.1</v>
      </c>
      <c r="I26" s="129">
        <f>H26/G26*100</f>
        <v>98.04606149699866</v>
      </c>
      <c r="J26" s="24">
        <f>населення!J26+льготи!J26+субсидии!J26+'держ.бюджет'!J26+'місц.-район.бюджет'!J26+обласной!J26+'госпрозрахунк.'!J26</f>
        <v>175.1</v>
      </c>
      <c r="K26" s="24">
        <f>населення!K26+льготи!K26+субсидии!K26+'держ.бюджет'!K26+'місц.-район.бюджет'!K26+обласной!K26+'госпрозрахунк.'!K26</f>
        <v>77.4</v>
      </c>
      <c r="L26" s="18">
        <f>K26/J26*100</f>
        <v>44.203312392918335</v>
      </c>
      <c r="M26" s="24">
        <f>населення!M26+льготи!M26+субсидии!M26+'держ.бюджет'!M26+'місц.-район.бюджет'!M26+обласной!M26+'госпрозрахунк.'!M26</f>
        <v>453.20000000000005</v>
      </c>
      <c r="N26" s="24">
        <f>населення!N26+льготи!N26+субсидии!N26+'держ.бюджет'!N26+'місц.-район.бюджет'!N26+обласной!N26+'госпрозрахунк.'!N26</f>
        <v>467.79999999999995</v>
      </c>
      <c r="O26" s="18">
        <f t="shared" si="3"/>
        <v>103.22153574580757</v>
      </c>
      <c r="P26" s="24">
        <f>населення!P26+льготи!P26+субсидии!P26+'держ.бюджет'!P26+'місц.-район.бюджет'!P26+обласной!P26+'госпрозрахунк.'!P26</f>
        <v>1146.1999999999998</v>
      </c>
      <c r="Q26" s="24">
        <f>населення!Q26+льготи!Q26+субсидии!Q26+'держ.бюджет'!Q26+'місц.-район.бюджет'!Q26+обласной!Q26+'госпрозрахунк.'!Q26</f>
        <v>865.3</v>
      </c>
      <c r="R26" s="18">
        <f t="shared" si="4"/>
        <v>75.49293317047636</v>
      </c>
      <c r="S26" s="16">
        <f>населення!S26+льготи!S26+субсидии!S26+'держ.бюджет'!S26+'місц.-район.бюджет'!S26+обласной!S26+'госпрозрахунк.'!S26</f>
        <v>364.0000000000001</v>
      </c>
      <c r="T26" s="16">
        <f t="shared" si="5"/>
        <v>95.69999999999982</v>
      </c>
      <c r="U26" s="16">
        <f>C26+G26-H26</f>
        <v>394.89999999999964</v>
      </c>
      <c r="V26" s="24">
        <f>63.9+10.8</f>
        <v>74.7</v>
      </c>
      <c r="W26" s="24"/>
    </row>
    <row r="27" spans="1:23" ht="24.75" customHeight="1">
      <c r="A27" s="121">
        <v>19</v>
      </c>
      <c r="B27" s="25" t="s">
        <v>70</v>
      </c>
      <c r="C27" s="155">
        <f>населення!C27+льготи!C27+субсидии!C27+'держ.бюджет'!C27+'місц.-район.бюджет'!C27+обласной!C27+'госпрозрахунк.'!C27</f>
        <v>1220.8</v>
      </c>
      <c r="D27" s="41">
        <f>населення!D27+льготи!D27+субсидии!D27+'держ.бюджет'!D27+'місц.-район.бюджет'!D27+обласной!D27+'госпрозрахунк.'!D27</f>
        <v>1626.1</v>
      </c>
      <c r="E27" s="41">
        <f>населення!E27+льготи!E27+субсидии!E27+'держ.бюджет'!E27+'місц.-район.бюджет'!E27+обласной!E27+'госпрозрахунк.'!E27</f>
        <v>1591.7</v>
      </c>
      <c r="F27" s="40">
        <f t="shared" si="0"/>
        <v>97.8845089477892</v>
      </c>
      <c r="G27" s="24">
        <f>населення!G27+льготи!G27+субсидии!G27+'держ.бюджет'!G27+'місц.-район.бюджет'!G27+обласной!G27+'госпрозрахунк.'!G27</f>
        <v>3906.9999999999995</v>
      </c>
      <c r="H27" s="24">
        <f>населення!H27+льготи!H27+субсидии!H27+'держ.бюджет'!H27+'місц.-район.бюджет'!H27+обласной!H27+'госпрозрахунк.'!H27</f>
        <v>4452</v>
      </c>
      <c r="I27" s="18">
        <f>H27/G27*100</f>
        <v>113.94932173022781</v>
      </c>
      <c r="J27" s="24">
        <f>населення!J27+льготи!J27+субсидии!J27+'держ.бюджет'!J27+'місц.-район.бюджет'!J27+обласной!J27+'госпрозрахунк.'!J27</f>
        <v>376.6</v>
      </c>
      <c r="K27" s="24">
        <f>населення!K27+льготи!K27+субсидии!K27+'держ.бюджет'!K27+'місц.-район.бюджет'!K27+обласной!K27+'госпрозрахунк.'!K27</f>
        <v>129.8</v>
      </c>
      <c r="L27" s="18">
        <f>K27/J27*100</f>
        <v>34.46627721720659</v>
      </c>
      <c r="M27" s="24">
        <f>населення!M27+льготи!M27+субсидии!M27+'держ.бюджет'!M27+'місц.-район.бюджет'!M27+обласной!M27+'госпрозрахунк.'!M27</f>
        <v>524.1</v>
      </c>
      <c r="N27" s="24">
        <f>населення!N27+льготи!N27+субсидии!N27+'держ.бюджет'!N27+'місц.-район.бюджет'!N27+обласной!N27+'госпрозрахунк.'!N27</f>
        <v>605.5</v>
      </c>
      <c r="O27" s="18">
        <f t="shared" si="3"/>
        <v>115.5313871398588</v>
      </c>
      <c r="P27" s="24">
        <f>населення!P27+льготи!P27+субсидии!P27+'держ.бюджет'!P27+'місц.-район.бюджет'!P27+обласной!P27+'госпрозрахунк.'!P27</f>
        <v>725.4</v>
      </c>
      <c r="Q27" s="24">
        <f>населення!Q27+льготи!Q27+субсидии!Q27+'держ.бюджет'!Q27+'місц.-район.бюджет'!Q27+обласной!Q27+'госпрозрахунк.'!Q27</f>
        <v>856.4000000000001</v>
      </c>
      <c r="R27" s="18">
        <f t="shared" si="4"/>
        <v>118.0590019299697</v>
      </c>
      <c r="S27" s="16">
        <f>населення!S27+льготи!S27+субсидии!S27+'держ.бюджет'!S27+'місц.-район.бюджет'!S27+'госпрозрахунк.'!S27</f>
        <v>34.39999999999981</v>
      </c>
      <c r="T27" s="16">
        <f t="shared" si="5"/>
        <v>-545.0000000000005</v>
      </c>
      <c r="U27" s="16">
        <f>C27+G27-H27</f>
        <v>675.7999999999993</v>
      </c>
      <c r="V27" s="24"/>
      <c r="W27" s="24"/>
    </row>
    <row r="28" spans="1:23" ht="30" customHeight="1">
      <c r="A28" s="121">
        <v>20</v>
      </c>
      <c r="B28" s="25" t="s">
        <v>105</v>
      </c>
      <c r="C28" s="155">
        <f>населення!C28+льготи!C28+субсидии!C28+'держ.бюджет'!C28+'місц.-район.бюджет'!C28+обласной!C28+'госпрозрахунк.'!C28</f>
        <v>789.6999999999998</v>
      </c>
      <c r="D28" s="41">
        <f>населення!D28+льготи!D28+субсидии!D28+'держ.бюджет'!D28+'місц.-район.бюджет'!D28+обласной!D28+'госпрозрахунк.'!D28</f>
        <v>3542.3999999999996</v>
      </c>
      <c r="E28" s="41">
        <f>населення!E28+льготи!E28+субсидии!E28+'держ.бюджет'!E28+'місц.-район.бюджет'!E28+обласной!E28+'госпрозрахунк.'!E28</f>
        <v>3722.5000000000005</v>
      </c>
      <c r="F28" s="40">
        <f t="shared" si="0"/>
        <v>105.08412375790428</v>
      </c>
      <c r="G28" s="24">
        <f>населення!G28+льготи!G28+субсидии!G28+'держ.бюджет'!G28+'місц.-район.бюджет'!G28+обласной!G28+'госпрозрахунк.'!G28</f>
        <v>9716.2</v>
      </c>
      <c r="H28" s="24">
        <f>населення!H28+льготи!H28+субсидии!H28+'держ.бюджет'!H28+'місц.-район.бюджет'!H28+обласной!H28+'госпрозрахунк.'!H28</f>
        <v>9605.3</v>
      </c>
      <c r="I28" s="129">
        <f>H28/G28*100</f>
        <v>98.85860727444884</v>
      </c>
      <c r="J28" s="24">
        <f>населення!J28+льготи!J28+субсидии!J28+'держ.бюджет'!J28+'місц.-район.бюджет'!J28+обласной!J28+'госпрозрахунк.'!J28</f>
        <v>705.4000000000001</v>
      </c>
      <c r="K28" s="24">
        <f>населення!K28+льготи!K28+субсидии!K28+'держ.бюджет'!K28+'місц.-район.бюджет'!K28+обласной!K28+'госпрозрахунк.'!K28</f>
        <v>638.5</v>
      </c>
      <c r="L28" s="18">
        <f>K28/J28*100</f>
        <v>90.5160192798412</v>
      </c>
      <c r="M28" s="24">
        <f>населення!M28+льготи!M28+субсидии!M28+'держ.бюджет'!M28+'місц.-район.бюджет'!M28+обласной!M28+'госпрозрахунк.'!M28</f>
        <v>976.6</v>
      </c>
      <c r="N28" s="24">
        <f>населення!N28+льготи!N28+субсидии!N28+'держ.бюджет'!N28+'місц.-район.бюджет'!N28+обласной!N28+'госпрозрахунк.'!N28</f>
        <v>657.2000000000002</v>
      </c>
      <c r="O28" s="18">
        <f t="shared" si="3"/>
        <v>67.29469588367807</v>
      </c>
      <c r="P28" s="24">
        <f>населення!P28+льготи!P28+субсидии!P28+'держ.бюджет'!P28+'місц.-район.бюджет'!P28+обласной!P28+'госпрозрахунк.'!P28</f>
        <v>1860.4</v>
      </c>
      <c r="Q28" s="24">
        <f>населення!Q28+льготи!Q28+субсидии!Q28+'держ.бюджет'!Q28+'місц.-район.бюджет'!Q28+обласной!Q28+'госпрозрахунк.'!Q28</f>
        <v>2426.8</v>
      </c>
      <c r="R28" s="18">
        <f t="shared" si="4"/>
        <v>130.4450655772952</v>
      </c>
      <c r="S28" s="16">
        <f>населення!S28+льготи!S28+субсидии!S28+'держ.бюджет'!S28+'місц.-район.бюджет'!S28+'госпрозрахунк.'!S28</f>
        <v>-180.10000000000025</v>
      </c>
      <c r="T28" s="16">
        <f t="shared" si="5"/>
        <v>110.90000000000146</v>
      </c>
      <c r="U28" s="16">
        <f>C28+G28-H28</f>
        <v>900.6000000000022</v>
      </c>
      <c r="V28" s="24"/>
      <c r="W28" s="24"/>
    </row>
    <row r="29" spans="1:23" ht="30.75" customHeight="1">
      <c r="A29" s="121">
        <v>21</v>
      </c>
      <c r="B29" s="23" t="s">
        <v>71</v>
      </c>
      <c r="C29" s="155">
        <f>населення!C29+льготи!C29+субсидии!C29+'держ.бюджет'!C29+'місц.-район.бюджет'!C29+обласной!C29+'госпрозрахунк.'!C29</f>
        <v>916.3000000000001</v>
      </c>
      <c r="D29" s="41">
        <f>населення!D29+льготи!D29+субсидии!D29+'держ.бюджет'!D29+'місц.-район.бюджет'!D29+обласной!D29+'госпрозрахунк.'!D29</f>
        <v>908.0000000000001</v>
      </c>
      <c r="E29" s="41">
        <f>населення!E29+льготи!E29+субсидии!E29+'держ.бюджет'!E29+'місц.-район.бюджет'!E29+обласной!E29+'госпрозрахунк.'!E29</f>
        <v>626.3000000000001</v>
      </c>
      <c r="F29" s="40">
        <f t="shared" si="0"/>
        <v>68.97577092511014</v>
      </c>
      <c r="G29" s="24">
        <f>населення!G29+льготи!G29+субсидии!G29+'держ.бюджет'!G29+'місц.-район.бюджет'!G29+обласной!G29+'госпрозрахунк.'!G29</f>
        <v>7864.8</v>
      </c>
      <c r="H29" s="24">
        <f>населення!H29+льготи!H29+субсидии!H29+'держ.бюджет'!H29+'місц.-район.бюджет'!H29+обласной!H29+'госпрозрахунк.'!H29</f>
        <v>7857.9000000000015</v>
      </c>
      <c r="I29" s="18">
        <f>H29/G29*100</f>
        <v>99.91226731766861</v>
      </c>
      <c r="J29" s="24">
        <f>населення!J29+льготи!J29+субсидии!J29+'держ.бюджет'!J29+'місц.-район.бюджет'!J29+обласной!J29+'госпрозрахунк.'!J29</f>
        <v>508.4</v>
      </c>
      <c r="K29" s="24">
        <f>населення!K29+льготи!K29+субсидии!K29+'держ.бюджет'!K29+'місц.-район.бюджет'!K29+обласной!K29+'госпрозрахунк.'!K29</f>
        <v>59.3</v>
      </c>
      <c r="L29" s="18">
        <f>K29/J29*100</f>
        <v>11.664044059795437</v>
      </c>
      <c r="M29" s="24">
        <f>населення!M29+льготи!M29+субсидии!M29+'держ.бюджет'!M29+'місц.-район.бюджет'!M29+обласной!M29+'госпрозрахунк.'!M29</f>
        <v>0</v>
      </c>
      <c r="N29" s="24">
        <f>населення!N29+льготи!N29+субсидии!N29+'держ.бюджет'!N29+'місц.-район.бюджет'!N29+обласной!N29+'госпрозрахунк.'!N29</f>
        <v>23.900000000000002</v>
      </c>
      <c r="O29" s="18" t="e">
        <f t="shared" si="3"/>
        <v>#DIV/0!</v>
      </c>
      <c r="P29" s="24">
        <f>населення!P29+льготи!P29+субсидии!P29+'держ.бюджет'!P29+'місц.-район.бюджет'!P29+обласной!P29+'госпрозрахунк.'!P29</f>
        <v>399.6</v>
      </c>
      <c r="Q29" s="24">
        <f>населення!Q29+льготи!Q29+субсидии!Q29+'держ.бюджет'!Q29+'місц.-район.бюджет'!Q29+обласной!Q29+'госпрозрахунк.'!Q29</f>
        <v>543.1</v>
      </c>
      <c r="R29" s="18">
        <f t="shared" si="4"/>
        <v>135.9109109109109</v>
      </c>
      <c r="S29" s="16">
        <f>населення!S29+льготи!S29+субсидии!S29+'держ.бюджет'!S29+'місц.-район.бюджет'!S29+обласной!S29+'госпрозрахунк.'!S29</f>
        <v>281.70000000000005</v>
      </c>
      <c r="T29" s="16">
        <f t="shared" si="5"/>
        <v>6.899999999998727</v>
      </c>
      <c r="U29" s="16">
        <f>C29+G29-H29</f>
        <v>923.1999999999989</v>
      </c>
      <c r="V29" s="24"/>
      <c r="W29" s="24"/>
    </row>
    <row r="30" spans="1:23" ht="24.75" customHeight="1">
      <c r="A30" s="121">
        <v>22</v>
      </c>
      <c r="B30" s="23" t="s">
        <v>72</v>
      </c>
      <c r="C30" s="157"/>
      <c r="D30" s="200" t="s">
        <v>88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1"/>
      <c r="V30" s="24"/>
      <c r="W30" s="24"/>
    </row>
    <row r="31" spans="1:23" ht="24.75" customHeight="1">
      <c r="A31" s="121">
        <v>23</v>
      </c>
      <c r="B31" s="25" t="s">
        <v>73</v>
      </c>
      <c r="C31" s="158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3"/>
      <c r="V31" s="24"/>
      <c r="W31" s="24"/>
    </row>
    <row r="32" spans="1:23" ht="24.75" customHeight="1">
      <c r="A32" s="121">
        <v>24</v>
      </c>
      <c r="B32" s="25" t="s">
        <v>74</v>
      </c>
      <c r="C32" s="159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5"/>
      <c r="V32" s="24"/>
      <c r="W32" s="24"/>
    </row>
    <row r="33" spans="1:23" ht="24.75" customHeight="1">
      <c r="A33" s="121">
        <v>25</v>
      </c>
      <c r="B33" s="25" t="s">
        <v>75</v>
      </c>
      <c r="C33" s="155"/>
      <c r="D33" s="80"/>
      <c r="E33" s="80"/>
      <c r="F33" s="35"/>
      <c r="G33" s="35"/>
      <c r="H33" s="35"/>
      <c r="I33" s="35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35"/>
      <c r="V33" s="24"/>
      <c r="W33" s="24"/>
    </row>
    <row r="34" spans="1:23" ht="24.75" customHeight="1">
      <c r="A34" s="121"/>
      <c r="B34" s="25" t="s">
        <v>76</v>
      </c>
      <c r="C34" s="155">
        <f>населення!C34+льготи!C34+субсидии!C34+'держ.бюджет'!C34+'місц.-район.бюджет'!C34+обласной!C34+'госпрозрахунк.'!C34</f>
        <v>17584.799999999996</v>
      </c>
      <c r="D34" s="41">
        <f>населення!D34+льготи!D34+субсидии!D34+'держ.бюджет'!D34+'місц.-район.бюджет'!D34+обласной!D34+'госпрозрахунк.'!D34</f>
        <v>17114.899999999998</v>
      </c>
      <c r="E34" s="41">
        <f>населення!E34+льготи!E34+субсидии!E34+'держ.бюджет'!E34+'місц.-район.бюджет'!E34+обласной!E34+'госпрозрахунк.'!E34</f>
        <v>16557</v>
      </c>
      <c r="F34" s="40">
        <f t="shared" si="0"/>
        <v>96.74026725251098</v>
      </c>
      <c r="G34" s="24">
        <f>населення!G34+льготи!G34+субсидии!G34+'держ.бюджет'!G34+'місц.-район.бюджет'!G34+обласной!G34+'госпрозрахунк.'!G34</f>
        <v>44477.299999999996</v>
      </c>
      <c r="H34" s="24">
        <f>населення!H34+льготи!H34+субсидии!H34+'держ.бюджет'!H34+'місц.-район.бюджет'!H34+обласной!H34+'госпрозрахунк.'!H34</f>
        <v>41307.6</v>
      </c>
      <c r="I34" s="18">
        <f>H34/G34*100</f>
        <v>92.87344330703527</v>
      </c>
      <c r="J34" s="24">
        <f>населення!J34+льготи!J34+субсидии!J34+'держ.бюджет'!J34+'місц.-район.бюджет'!J34+обласной!J34+'госпрозрахунк.'!J34</f>
        <v>4164.2</v>
      </c>
      <c r="K34" s="24">
        <f>населення!K34+льготи!K34+субсидии!K34+'держ.бюджет'!K34+'місц.-район.бюджет'!K34+обласной!K34+'госпрозрахунк.'!K34</f>
        <v>3415.6000000000004</v>
      </c>
      <c r="L34" s="18">
        <f aca="true" t="shared" si="7" ref="L34:L44">K34/J34*100</f>
        <v>82.02295759089382</v>
      </c>
      <c r="M34" s="24">
        <f>населення!M34+льготи!M34+субсидии!M34+'держ.бюджет'!M34+'місц.-район.бюджет'!M34+обласной!M34+'госпрозрахунк.'!M34</f>
        <v>5102.1</v>
      </c>
      <c r="N34" s="24">
        <f>населення!N34+льготи!N34+субсидии!N34+'держ.бюджет'!N34+'місц.-район.бюджет'!N34+обласной!N34+'госпрозрахунк.'!N34</f>
        <v>6598.6</v>
      </c>
      <c r="O34" s="18">
        <f aca="true" t="shared" si="8" ref="O34:O43">N34/M34*100</f>
        <v>129.3310597597068</v>
      </c>
      <c r="P34" s="24">
        <f>населення!P34+льготи!P34+субсидии!P34+'держ.бюджет'!P34+'місц.-район.бюджет'!P34+обласной!P34+'госпрозрахунк.'!P34</f>
        <v>7848.6</v>
      </c>
      <c r="Q34" s="24">
        <f>населення!Q34+льготи!Q34+субсидии!Q34+'держ.бюджет'!Q34+'місц.-район.бюджет'!Q34+обласной!Q34+'госпрозрахунк.'!Q34</f>
        <v>6542.8</v>
      </c>
      <c r="R34" s="18">
        <f aca="true" t="shared" si="9" ref="R34:R47">Q34/P34*100</f>
        <v>83.36263792268684</v>
      </c>
      <c r="S34" s="16">
        <f>населення!S34+льготи!S34+субсидии!S34+'держ.бюджет'!S34+'місц.-район.бюджет'!S34+обласной!S34+'госпрозрахунк.'!S34</f>
        <v>557.8999999999994</v>
      </c>
      <c r="T34" s="16">
        <f aca="true" t="shared" si="10" ref="T34:T47">G34-H34</f>
        <v>3169.699999999997</v>
      </c>
      <c r="U34" s="16">
        <f aca="true" t="shared" si="11" ref="U34:U44">C34+G34-H34</f>
        <v>20754.499999999993</v>
      </c>
      <c r="V34" s="24"/>
      <c r="W34" s="24"/>
    </row>
    <row r="35" spans="1:23" ht="24.75" customHeight="1">
      <c r="A35" s="121"/>
      <c r="B35" s="25" t="s">
        <v>77</v>
      </c>
      <c r="C35" s="155">
        <f>населення!C35+льготи!C35+субсидии!C35+'держ.бюджет'!C35+'місц.-район.бюджет'!C35+обласной!C35+'госпрозрахунк.'!C35</f>
        <v>128.3</v>
      </c>
      <c r="D35" s="41">
        <f>населення!D35+льготи!D35+субсидии!D35+'держ.бюджет'!D35+'місц.-район.бюджет'!D35+обласной!D35+'госпрозрахунк.'!D35</f>
        <v>1716.5</v>
      </c>
      <c r="E35" s="41">
        <f>населення!E35+льготи!E35+субсидии!E35+'держ.бюджет'!E35+'місц.-район.бюджет'!E35+обласной!E35+'госпрозрахунк.'!E35</f>
        <v>2278</v>
      </c>
      <c r="F35" s="40">
        <f>E35/D35*100</f>
        <v>132.71191377803672</v>
      </c>
      <c r="G35" s="24">
        <f>населення!G35+льготи!G35+субсидии!G35+'держ.бюджет'!G35+'місц.-район.бюджет'!G35+обласной!G35+'госпрозрахунк.'!G35</f>
        <v>4829.5</v>
      </c>
      <c r="H35" s="24">
        <f>населення!H35+льготи!H35+субсидии!H35+'держ.бюджет'!H35+'місц.-район.бюджет'!H35+обласной!H35+'госпрозрахунк.'!H35</f>
        <v>5733.799999999999</v>
      </c>
      <c r="I35" s="18">
        <f aca="true" t="shared" si="12" ref="I35:I44">H35/G35*100</f>
        <v>118.72450564240604</v>
      </c>
      <c r="J35" s="24">
        <f>населення!J35+льготи!J35+субсидии!J35+'держ.бюджет'!J35+'місц.-район.бюджет'!J35+обласной!J35+'госпрозрахунк.'!J35</f>
        <v>376.3</v>
      </c>
      <c r="K35" s="24">
        <f>населення!K35+льготи!K35+субсидии!K35+'держ.бюджет'!K35+'місц.-район.бюджет'!K35+обласной!K35+'госпрозрахунк.'!K35</f>
        <v>357</v>
      </c>
      <c r="L35" s="18">
        <f t="shared" si="7"/>
        <v>94.87111347329258</v>
      </c>
      <c r="M35" s="24">
        <f>населення!M35+льготи!M35+субсидии!M35+'держ.бюджет'!M35+'місц.-район.бюджет'!M35+обласной!M35+'госпрозрахунк.'!M35</f>
        <v>631.5</v>
      </c>
      <c r="N35" s="24">
        <f>населення!N35+льготи!N35+субсидии!N35+'держ.бюджет'!N35+'місц.-район.бюджет'!N35+обласной!N35+'госпрозрахунк.'!N35</f>
        <v>594.3</v>
      </c>
      <c r="O35" s="18">
        <f t="shared" si="8"/>
        <v>94.10926365795724</v>
      </c>
      <c r="P35" s="24">
        <f>населення!P35+льготи!P35+субсидии!P35+'держ.бюджет'!P35+'місц.-район.бюджет'!P35+обласной!P35+'госпрозрахунк.'!P35</f>
        <v>708.6999999999999</v>
      </c>
      <c r="Q35" s="24">
        <f>населення!Q35+льготи!Q35+субсидии!Q35+'держ.бюджет'!Q35+'місц.-район.бюджет'!Q35+обласной!Q35+'госпрозрахунк.'!Q35</f>
        <v>1326.7</v>
      </c>
      <c r="R35" s="18">
        <f t="shared" si="9"/>
        <v>187.20191900663187</v>
      </c>
      <c r="S35" s="16">
        <f>населення!S35+льготи!S35+субсидии!S35+'держ.бюджет'!S35+'місц.-район.бюджет'!S35+обласной!S35+'госпрозрахунк.'!S35</f>
        <v>-561.5</v>
      </c>
      <c r="T35" s="16">
        <f t="shared" si="10"/>
        <v>-904.2999999999993</v>
      </c>
      <c r="U35" s="16">
        <f t="shared" si="11"/>
        <v>-775.9999999999991</v>
      </c>
      <c r="V35" s="24"/>
      <c r="W35" s="24"/>
    </row>
    <row r="36" spans="1:23" ht="36.75" customHeight="1">
      <c r="A36" s="121">
        <v>26</v>
      </c>
      <c r="B36" s="25" t="s">
        <v>106</v>
      </c>
      <c r="C36" s="155">
        <f>населення!C36+льготи!C36+субсидии!C36+'держ.бюджет'!C36+'місц.-район.бюджет'!C36+обласной!C36+'госпрозрахунк.'!C36</f>
        <v>5843.299999999999</v>
      </c>
      <c r="D36" s="41">
        <f>населення!D36+льготи!D36+субсидии!D36+'держ.бюджет'!D36+'місц.-район.бюджет'!D36+обласной!D36+'госпрозрахунк.'!D36</f>
        <v>4779.7</v>
      </c>
      <c r="E36" s="41">
        <f>населення!E36+льготи!E36+субсидии!E36+'держ.бюджет'!E36+'місц.-район.бюджет'!E36+обласной!E36+'госпрозрахунк.'!E36</f>
        <v>3911.2000000000007</v>
      </c>
      <c r="F36" s="40">
        <f t="shared" si="0"/>
        <v>81.82940351904932</v>
      </c>
      <c r="G36" s="24">
        <f>населення!G36+льготи!G36+субсидии!G36+'держ.бюджет'!G36+'місц.-район.бюджет'!G36+обласной!G36+'госпрозрахунк.'!G36</f>
        <v>16169.999999999998</v>
      </c>
      <c r="H36" s="24">
        <f>населення!H36+льготи!H36+субсидии!H36+'держ.бюджет'!H36+'місц.-район.бюджет'!H36+обласной!H36+'госпрозрахунк.'!H36</f>
        <v>11519.499999999998</v>
      </c>
      <c r="I36" s="18">
        <f t="shared" si="12"/>
        <v>71.23995052566481</v>
      </c>
      <c r="J36" s="24">
        <f>населення!J36+льготи!J36+субсидии!J36+'держ.бюджет'!J36+'місц.-район.бюджет'!J36+обласной!J36+'госпрозрахунк.'!J36</f>
        <v>826.3000000000001</v>
      </c>
      <c r="K36" s="24">
        <f>населення!K36+льготи!K36+субсидии!K36+'держ.бюджет'!K36+'місц.-район.бюджет'!K36+обласной!K36+'госпрозрахунк.'!K36</f>
        <v>412.50000000000006</v>
      </c>
      <c r="L36" s="18">
        <f t="shared" si="7"/>
        <v>49.92133607648554</v>
      </c>
      <c r="M36" s="24">
        <f>населення!M36+льготи!M36+субсидии!M36+'держ.бюджет'!M36+'місц.-район.бюджет'!M36+обласной!M36+'госпрозрахунк.'!M36</f>
        <v>1497.4000000000003</v>
      </c>
      <c r="N36" s="24">
        <f>населення!N36+льготи!N36+субсидии!N36+'держ.бюджет'!N36+'місц.-район.бюджет'!N36+обласной!N36+'госпрозрахунк.'!N36</f>
        <v>1200.7</v>
      </c>
      <c r="O36" s="18">
        <f t="shared" si="8"/>
        <v>80.1856551355683</v>
      </c>
      <c r="P36" s="24">
        <f>населення!P36+льготи!P36+субсидии!P36+'держ.бюджет'!P36+'місц.-район.бюджет'!P36+обласной!P36+'госпрозрахунк.'!P36</f>
        <v>2456</v>
      </c>
      <c r="Q36" s="24">
        <f>населення!Q36+льготи!Q36+субсидии!Q36+'держ.бюджет'!Q36+'місц.-район.бюджет'!Q36+обласной!Q36+'госпрозрахунк.'!Q36</f>
        <v>2298</v>
      </c>
      <c r="R36" s="18">
        <f t="shared" si="9"/>
        <v>93.56677524429968</v>
      </c>
      <c r="S36" s="16">
        <f>населення!S36+льготи!S36+субсидии!S36+'держ.бюджет'!S36+'місц.-район.бюджет'!S36+обласной!S36+'госпрозрахунк.'!S36</f>
        <v>868.4999999999998</v>
      </c>
      <c r="T36" s="16">
        <f t="shared" si="10"/>
        <v>4650.5</v>
      </c>
      <c r="U36" s="16">
        <f t="shared" si="11"/>
        <v>10493.799999999997</v>
      </c>
      <c r="V36" s="24"/>
      <c r="W36" s="24"/>
    </row>
    <row r="37" spans="1:23" ht="27.75" customHeight="1">
      <c r="A37" s="121">
        <v>27</v>
      </c>
      <c r="B37" s="23" t="s">
        <v>78</v>
      </c>
      <c r="C37" s="155">
        <f>населення!C37+льготи!C37+субсидии!C37+'держ.бюджет'!C37+'місц.-район.бюджет'!C37+обласной!C37+'госпрозрахунк.'!C37</f>
        <v>166.2</v>
      </c>
      <c r="D37" s="41">
        <f>населення!D37+льготи!D37+субсидии!D37+'держ.бюджет'!D37+'місц.-район.бюджет'!D37+обласной!D37+'госпрозрахунк.'!D37</f>
        <v>2605.8999999999996</v>
      </c>
      <c r="E37" s="41">
        <f>населення!E37+льготи!E37+субсидии!E37+'держ.бюджет'!E37+'місц.-район.бюджет'!E37+обласной!E37+'госпрозрахунк.'!E37</f>
        <v>2659.7999999999997</v>
      </c>
      <c r="F37" s="40">
        <f t="shared" si="0"/>
        <v>102.06838328408611</v>
      </c>
      <c r="G37" s="24">
        <f>населення!G37+льготи!G37+субсидии!G37+'держ.бюджет'!G37+'місц.-район.бюджет'!G37+обласной!G37+'госпрозрахунк.'!G37</f>
        <v>5625.7</v>
      </c>
      <c r="H37" s="24">
        <f>населення!H37+льготи!H37+субсидии!H37+'держ.бюджет'!H37+'місц.-район.бюджет'!H37+обласной!H37+'госпрозрахунк.'!H37</f>
        <v>5717.4</v>
      </c>
      <c r="I37" s="18">
        <f t="shared" si="12"/>
        <v>101.63001937536662</v>
      </c>
      <c r="J37" s="24">
        <f>населення!J37+льготи!J37+субсидии!J37+'держ.бюджет'!J37+'місц.-район.бюджет'!J37+обласной!J37+'госпрозрахунк.'!J37</f>
        <v>503.29999999999995</v>
      </c>
      <c r="K37" s="24">
        <f>населення!K37+льготи!K37+субсидии!K37+'держ.бюджет'!K37+'місц.-район.бюджет'!K37+обласной!K37+'госпрозрахунк.'!K37</f>
        <v>363.5</v>
      </c>
      <c r="L37" s="18">
        <f t="shared" si="7"/>
        <v>72.22332604808265</v>
      </c>
      <c r="M37" s="24">
        <f>населення!M37+льготи!M37+субсидии!M37+'держ.бюджет'!M37+'місц.-район.бюджет'!M37+обласной!M37+'госпрозрахунк.'!M37</f>
        <v>772.1</v>
      </c>
      <c r="N37" s="24">
        <f>населення!N37+льготи!N37+субсидии!N37+'держ.бюджет'!N37+'місц.-район.бюджет'!N37+обласной!N37+'госпрозрахунк.'!N37</f>
        <v>888.3</v>
      </c>
      <c r="O37" s="18">
        <f t="shared" si="8"/>
        <v>115.04986400725295</v>
      </c>
      <c r="P37" s="24">
        <f>населення!P37+льготи!P37+субсидии!P37+'держ.бюджет'!P37+'місц.-район.бюджет'!P37+обласной!P37+'госпрозрахунк.'!P37</f>
        <v>1330.5000000000002</v>
      </c>
      <c r="Q37" s="24">
        <f>населення!Q37+льготи!Q37+субсидии!Q37+'держ.бюджет'!Q37+'місц.-район.бюджет'!Q37+обласной!Q37+'госпрозрахунк.'!Q37</f>
        <v>1408</v>
      </c>
      <c r="R37" s="18">
        <f t="shared" si="9"/>
        <v>105.82487786546409</v>
      </c>
      <c r="S37" s="16">
        <f>населення!S37+льготи!S37+субсидии!S37+'держ.бюджет'!S37+'місц.-район.бюджет'!S37+обласной!S37+'госпрозрахунк.'!S37</f>
        <v>-53.89999999999992</v>
      </c>
      <c r="T37" s="16">
        <f t="shared" si="10"/>
        <v>-91.69999999999982</v>
      </c>
      <c r="U37" s="16">
        <f t="shared" si="11"/>
        <v>74.5</v>
      </c>
      <c r="V37" s="24"/>
      <c r="W37" s="24"/>
    </row>
    <row r="38" spans="1:23" ht="24.75" customHeight="1">
      <c r="A38" s="121">
        <v>28</v>
      </c>
      <c r="B38" s="25" t="s">
        <v>79</v>
      </c>
      <c r="C38" s="155">
        <f>населення!C38+льготи!C38+субсидии!C38+'держ.бюджет'!C38+'місц.-район.бюджет'!C38+обласной!C38+'госпрозрахунк.'!C38</f>
        <v>12155.900000000001</v>
      </c>
      <c r="D38" s="41">
        <f>населення!D38+льготи!D38+субсидии!D38+'держ.бюджет'!D38+'місц.-район.бюджет'!D38+обласной!D38+'госпрозрахунк.'!D38</f>
        <v>13263.599999999999</v>
      </c>
      <c r="E38" s="41">
        <f>населення!E38+льготи!E38+субсидии!E38+'держ.бюджет'!E38+'місц.-район.бюджет'!E38+обласной!E38+'госпрозрахунк.'!E38</f>
        <v>9263.8</v>
      </c>
      <c r="F38" s="40">
        <f t="shared" si="0"/>
        <v>69.84378298501161</v>
      </c>
      <c r="G38" s="24">
        <f>населення!G38+льготи!G38+субсидии!G38+'держ.бюджет'!G38+'місц.-район.бюджет'!G38+обласной!G38+'госпрозрахунк.'!G38</f>
        <v>34701.3</v>
      </c>
      <c r="H38" s="24">
        <f>населення!H38+льготи!H38+субсидии!H38+'держ.бюджет'!H38+'місц.-район.бюджет'!H38+обласной!H38+'госпрозрахунк.'!H38</f>
        <v>34699.6</v>
      </c>
      <c r="I38" s="18">
        <f t="shared" si="12"/>
        <v>99.99510104808752</v>
      </c>
      <c r="J38" s="24">
        <f>населення!J38+льготи!J38+субсидии!J38+'держ.бюджет'!J38+'місц.-район.бюджет'!J38+обласной!J38+'госпрозрахунк.'!J38</f>
        <v>3459.8999999999996</v>
      </c>
      <c r="K38" s="24">
        <f>населення!K38+льготи!K38+субсидии!K38+'держ.бюджет'!K38+'місц.-район.бюджет'!K38+обласной!K38+'госпрозрахунк.'!K38</f>
        <v>947.6999999999998</v>
      </c>
      <c r="L38" s="18">
        <f t="shared" si="7"/>
        <v>27.390965056793547</v>
      </c>
      <c r="M38" s="24">
        <f>населення!M38+льготи!M38+субсидии!M38+'держ.бюджет'!M38+'місц.-район.бюджет'!M38+обласной!M38+'госпрозрахунк.'!M38</f>
        <v>4210.4</v>
      </c>
      <c r="N38" s="24">
        <f>населення!N38+льготи!N38+субсидии!N38+'держ.бюджет'!N38+'місц.-район.бюджет'!N38+обласной!N38+'госпрозрахунк.'!N38</f>
        <v>2741.6000000000004</v>
      </c>
      <c r="O38" s="18">
        <f t="shared" si="8"/>
        <v>65.11495344860347</v>
      </c>
      <c r="P38" s="24">
        <f>населення!P38+льготи!P38+субсидии!P38+'держ.бюджет'!P38+'місц.-район.бюджет'!P38+обласной!P38+'госпрозрахунк.'!P38</f>
        <v>5593.3</v>
      </c>
      <c r="Q38" s="24">
        <f>населення!Q38+льготи!Q38+субсидии!Q38+'держ.бюджет'!Q38+'місц.-район.бюджет'!Q38+обласной!Q38+'госпрозрахунк.'!Q38</f>
        <v>5574.5</v>
      </c>
      <c r="R38" s="18">
        <f t="shared" si="9"/>
        <v>99.6638835749915</v>
      </c>
      <c r="S38" s="16">
        <f>населення!S38+льготи!S38+субсидии!S38+'держ.бюджет'!S38+'місц.-район.бюджет'!S38+обласной!S38+'госпрозрахунк.'!S38</f>
        <v>3999.8</v>
      </c>
      <c r="T38" s="16">
        <f t="shared" si="10"/>
        <v>1.7000000000043656</v>
      </c>
      <c r="U38" s="69">
        <f t="shared" si="11"/>
        <v>12157.600000000006</v>
      </c>
      <c r="V38" s="24"/>
      <c r="W38" s="24"/>
    </row>
    <row r="39" spans="1:23" ht="24.75" customHeight="1">
      <c r="A39" s="121">
        <v>29</v>
      </c>
      <c r="B39" s="25" t="s">
        <v>80</v>
      </c>
      <c r="C39" s="155">
        <f>населення!C39+льготи!C39+субсидии!C39+'держ.бюджет'!C39+'місц.-район.бюджет'!C39+обласной!C39+'госпрозрахунк.'!C39</f>
        <v>24651.4</v>
      </c>
      <c r="D39" s="41">
        <f>населення!D39+льготи!D39+субсидии!D39+'держ.бюджет'!D39+'місц.-район.бюджет'!D39+обласной!D39+'госпрозрахунк.'!D39</f>
        <v>15157.7</v>
      </c>
      <c r="E39" s="41">
        <f>населення!E39+льготи!E39+субсидии!E39+'держ.бюджет'!E39+'місц.-район.бюджет'!E39+обласной!E39+'госпрозрахунк.'!E39</f>
        <v>8808.7</v>
      </c>
      <c r="F39" s="40">
        <f t="shared" si="0"/>
        <v>58.11369798848111</v>
      </c>
      <c r="G39" s="24">
        <f>населення!G39+льготи!G39+субсидии!G39+'держ.бюджет'!G39+'місц.-район.бюджет'!G39+обласной!G39+'госпрозрахунк.'!G39</f>
        <v>33135.6</v>
      </c>
      <c r="H39" s="24">
        <f>населення!H39+льготи!H39+субсидии!H39+'держ.бюджет'!H39+'місц.-район.бюджет'!H39+обласной!H39+'госпрозрахунк.'!H39</f>
        <v>38568.799999999996</v>
      </c>
      <c r="I39" s="18">
        <f t="shared" si="12"/>
        <v>116.39686621035985</v>
      </c>
      <c r="J39" s="24">
        <f>населення!J39+льготи!J39+субсидии!J39+'держ.бюджет'!J39+'місц.-район.бюджет'!J39+обласной!J39+'госпрозрахунк.'!J39</f>
        <v>3517.7</v>
      </c>
      <c r="K39" s="24">
        <f>населення!K39+льготи!K39+субсидии!K39+'держ.бюджет'!K39+'місц.-район.бюджет'!K39+обласной!K39+'госпрозрахунк.'!K39</f>
        <v>1511.6999999999998</v>
      </c>
      <c r="L39" s="18">
        <f t="shared" si="7"/>
        <v>42.974102396452224</v>
      </c>
      <c r="M39" s="24">
        <f>населення!M39+льготи!M39+субсидии!M39+'держ.бюджет'!M39+'місц.-район.бюджет'!M39+обласной!M39+'госпрозрахунк.'!M39</f>
        <v>4691.2</v>
      </c>
      <c r="N39" s="24">
        <f>населення!N39+льготи!N39+субсидии!N39+'держ.бюджет'!N39+'місц.-район.бюджет'!N39+обласной!N39+'госпрозрахунк.'!N39</f>
        <v>3004.7000000000003</v>
      </c>
      <c r="O39" s="18">
        <f t="shared" si="8"/>
        <v>64.04971009549796</v>
      </c>
      <c r="P39" s="24">
        <f>населення!P39+льготи!P39+субсидии!P39+'держ.бюджет'!P39+'місц.-район.бюджет'!P39+обласной!P39+'госпрозрахунк.'!P39</f>
        <v>6948.8</v>
      </c>
      <c r="Q39" s="24">
        <f>населення!Q39+льготи!Q39+субсидии!Q39+'держ.бюджет'!Q39+'місц.-район.бюджет'!Q39+обласной!Q39+'госпрозрахунк.'!Q39</f>
        <v>4292.299999999999</v>
      </c>
      <c r="R39" s="18">
        <f t="shared" si="9"/>
        <v>61.77037761915726</v>
      </c>
      <c r="S39" s="16">
        <f>населення!S39+льготи!S39+субсидии!S39+'держ.бюджет'!S39+'місц.-район.бюджет'!S39+обласной!S39+'госпрозрахунк.'!S39</f>
        <v>6348.999999999999</v>
      </c>
      <c r="T39" s="16">
        <f t="shared" si="10"/>
        <v>-5433.199999999997</v>
      </c>
      <c r="U39" s="16">
        <f t="shared" si="11"/>
        <v>19218.200000000004</v>
      </c>
      <c r="V39" s="24"/>
      <c r="W39" s="24"/>
    </row>
    <row r="40" spans="1:23" ht="39" customHeight="1">
      <c r="A40" s="121">
        <v>30</v>
      </c>
      <c r="B40" s="25" t="s">
        <v>107</v>
      </c>
      <c r="C40" s="155">
        <f>населення!C40+льготи!C40+субсидии!C40+'держ.бюджет'!C40+'місц.-район.бюджет'!C40+обласной!C40+'госпрозрахунк.'!C40</f>
        <v>56049.299999999996</v>
      </c>
      <c r="D40" s="41">
        <f>населення!D40+льготи!D40+субсидии!D40+'держ.бюджет'!D40+'місц.-район.бюджет'!D40+обласной!D40+'госпрозрахунк.'!D40</f>
        <v>24915.099999999995</v>
      </c>
      <c r="E40" s="41">
        <f>населення!E40+льготи!E40+субсидии!E40+'держ.бюджет'!E40+'місц.-район.бюджет'!E40+обласной!E40+'госпрозрахунк.'!E40</f>
        <v>21456.2</v>
      </c>
      <c r="F40" s="40">
        <f t="shared" si="0"/>
        <v>86.11725419524709</v>
      </c>
      <c r="G40" s="24">
        <f>населення!G40+льготи!G40+субсидии!G40+'держ.бюджет'!G40+'місц.-район.бюджет'!G40+обласной!G40+'госпрозрахунк.'!G40</f>
        <v>71340.6</v>
      </c>
      <c r="H40" s="24">
        <f>населення!H40+льготи!H40+субсидии!H40+'держ.бюджет'!H40+'місц.-район.бюджет'!H40+обласной!H40+'госпрозрахунк.'!H40</f>
        <v>77463.29999999999</v>
      </c>
      <c r="I40" s="18">
        <f t="shared" si="12"/>
        <v>108.58235002228741</v>
      </c>
      <c r="J40" s="24">
        <f>населення!J40+льготи!J40+субсидии!J40+'держ.бюджет'!J40+'місц.-район.бюджет'!J40+обласной!J40+'госпрозрахунк.'!J40</f>
        <v>7361.400000000001</v>
      </c>
      <c r="K40" s="24">
        <f>населення!K40+льготи!K40+субсидии!K40+'держ.бюджет'!K40+'місц.-район.бюджет'!K40+обласной!K40+'госпрозрахунк.'!K40</f>
        <v>5506.300000000001</v>
      </c>
      <c r="L40" s="18">
        <f t="shared" si="7"/>
        <v>74.79963050506699</v>
      </c>
      <c r="M40" s="24">
        <f>населення!M40+льготи!M40+субсидии!M40+'держ.бюджет'!M40+'місц.-район.бюджет'!M40+обласной!M40+'госпрозрахунк.'!M40</f>
        <v>7417.3</v>
      </c>
      <c r="N40" s="24">
        <f>населення!N40+льготи!N40+субсидии!N40+'держ.бюджет'!N40+'місц.-район.бюджет'!N40+обласной!N40+'госпрозрахунк.'!N40</f>
        <v>5317.900000000001</v>
      </c>
      <c r="O40" s="18">
        <f t="shared" si="8"/>
        <v>71.69590012538256</v>
      </c>
      <c r="P40" s="24">
        <f>населення!P40+льготи!P40+субсидии!P40+'держ.бюджет'!P40+'місц.-район.бюджет'!P40+обласной!P40+'госпрозрахунк.'!P40</f>
        <v>10136.400000000001</v>
      </c>
      <c r="Q40" s="24">
        <f>населення!Q40+льготи!Q40+субсидии!Q40+'держ.бюджет'!Q40+'місц.-район.бюджет'!Q40+обласной!Q40+'госпрозрахунк.'!Q40</f>
        <v>10632</v>
      </c>
      <c r="R40" s="18">
        <f t="shared" si="9"/>
        <v>104.88930981413517</v>
      </c>
      <c r="S40" s="16">
        <f>населення!S40+льготи!S40+субсидии!S40+'держ.бюджет'!S40+'місц.-район.бюджет'!S40+обласной!S40+'госпрозрахунк.'!S40</f>
        <v>3458.9000000000015</v>
      </c>
      <c r="T40" s="16">
        <f t="shared" si="10"/>
        <v>-6122.6999999999825</v>
      </c>
      <c r="U40" s="16">
        <f t="shared" si="11"/>
        <v>49926.600000000006</v>
      </c>
      <c r="V40" s="24"/>
      <c r="W40" s="24"/>
    </row>
    <row r="41" spans="1:23" ht="24.75" customHeight="1">
      <c r="A41" s="121">
        <v>31</v>
      </c>
      <c r="B41" s="25" t="s">
        <v>81</v>
      </c>
      <c r="C41" s="155">
        <f>населення!C41+льготи!C41+субсидии!C41+'держ.бюджет'!C41+'місц.-район.бюджет'!C41+обласной!C41+'госпрозрахунк.'!C41</f>
        <v>426.2</v>
      </c>
      <c r="D41" s="41">
        <f>населення!D41+льготи!D41+субсидии!D41+'держ.бюджет'!D41+'місц.-район.бюджет'!D41+обласной!D41+'госпрозрахунк.'!D41</f>
        <v>796.9000000000001</v>
      </c>
      <c r="E41" s="41">
        <f>населення!E41+льготи!E41+субсидии!E41+'держ.бюджет'!E41+'місц.-район.бюджет'!E41+обласной!E41+'госпрозрахунк.'!E41</f>
        <v>814.5</v>
      </c>
      <c r="F41" s="40">
        <f t="shared" si="0"/>
        <v>102.20855816288115</v>
      </c>
      <c r="G41" s="24">
        <f>населення!G41+льготи!G41+субсидии!G41+'держ.бюджет'!G41+'місц.-район.бюджет'!G41+обласной!G41+'госпрозрахунк.'!G41</f>
        <v>1605.8999999999999</v>
      </c>
      <c r="H41" s="24">
        <f>населення!H41+льготи!H41+субсидии!H41+'держ.бюджет'!H41+'місц.-район.бюджет'!H41+обласной!H41+'госпрозрахунк.'!H41</f>
        <v>1544.5</v>
      </c>
      <c r="I41" s="18">
        <f t="shared" si="12"/>
        <v>96.17659879195467</v>
      </c>
      <c r="J41" s="24">
        <f>населення!J41+льготи!J41+субсидии!J41+'держ.бюджет'!J41+'місц.-район.бюджет'!J41+обласной!J41+'госпрозрахунк.'!J41</f>
        <v>171.89999999999998</v>
      </c>
      <c r="K41" s="24">
        <f>населення!K41+льготи!K41+субсидии!K41+'держ.бюджет'!K41+'місц.-район.бюджет'!K41+обласной!K41+'госпрозрахунк.'!K41</f>
        <v>69.6</v>
      </c>
      <c r="L41" s="18">
        <f t="shared" si="7"/>
        <v>40.48865619546248</v>
      </c>
      <c r="M41" s="24">
        <f>населення!M41+льготи!M41+субсидии!M41+'держ.бюджет'!M41+'місц.-район.бюджет'!M41+обласной!M41+'госпрозрахунк.'!M41</f>
        <v>215.7</v>
      </c>
      <c r="N41" s="24">
        <f>населення!N41+льготи!N41+субсидии!N41+'держ.бюджет'!N41+'місц.-район.бюджет'!N41+обласной!N41+'госпрозрахунк.'!N41</f>
        <v>197.7</v>
      </c>
      <c r="O41" s="18">
        <f t="shared" si="8"/>
        <v>91.65507649513212</v>
      </c>
      <c r="P41" s="24">
        <f>населення!P41+льготи!P41+субсидии!P41+'держ.бюджет'!P41+'місц.-район.бюджет'!P41+обласной!P41+'госпрозрахунк.'!P41</f>
        <v>409.3</v>
      </c>
      <c r="Q41" s="24">
        <f>населення!Q41+льготи!Q41+субсидии!Q41+'держ.бюджет'!Q41+'місц.-район.бюджет'!Q41+обласной!Q41+'госпрозрахунк.'!Q41</f>
        <v>547.1999999999999</v>
      </c>
      <c r="R41" s="18">
        <f t="shared" si="9"/>
        <v>133.69166870266307</v>
      </c>
      <c r="S41" s="16">
        <f>населення!S41+льготи!S41+субсидии!S41+'держ.бюджет'!S41+'місц.-район.бюджет'!S41+'госпрозрахунк.'!S41</f>
        <v>-17.59999999999998</v>
      </c>
      <c r="T41" s="16">
        <f t="shared" si="10"/>
        <v>61.399999999999864</v>
      </c>
      <c r="U41" s="16">
        <f t="shared" si="11"/>
        <v>487.5999999999999</v>
      </c>
      <c r="V41" s="24"/>
      <c r="W41" s="24"/>
    </row>
    <row r="42" spans="1:23" ht="37.5" customHeight="1">
      <c r="A42" s="121">
        <v>32</v>
      </c>
      <c r="B42" s="23" t="s">
        <v>82</v>
      </c>
      <c r="C42" s="155">
        <f>населення!C42+льготи!C42+субсидии!C42+'держ.бюджет'!C42+'місц.-район.бюджет'!C42+обласной!C42+'госпрозрахунк.'!C42</f>
        <v>13485.099999999999</v>
      </c>
      <c r="D42" s="41">
        <f>населення!D42+льготи!D42+субсидии!D42+'держ.бюджет'!D42+'місц.-район.бюджет'!D42+обласной!D42+'госпрозрахунк.'!D42</f>
        <v>11154.3</v>
      </c>
      <c r="E42" s="41">
        <f>населення!E42+льготи!E42+субсидии!E42+'держ.бюджет'!E42+'місц.-район.бюджет'!E42+обласной!E42+'госпрозрахунк.'!E42</f>
        <v>6793.6</v>
      </c>
      <c r="F42" s="40">
        <f t="shared" si="0"/>
        <v>60.90565970074322</v>
      </c>
      <c r="G42" s="24">
        <f>населення!G42+льготи!G42+субсидии!G42+'держ.бюджет'!G42+'місц.-район.бюджет'!G42+обласной!G42+'госпрозрахунк.'!G42</f>
        <v>30501.5</v>
      </c>
      <c r="H42" s="24">
        <f>населення!H42+льготи!H42+субсидии!H42+'держ.бюджет'!H42+'місц.-район.бюджет'!H42+обласной!H42+'госпрозрахунк.'!H42</f>
        <v>30010.4</v>
      </c>
      <c r="I42" s="18">
        <f t="shared" si="12"/>
        <v>98.38991525006968</v>
      </c>
      <c r="J42" s="24">
        <f>населення!J42+льготи!J42+субсидии!J42+'держ.бюджет'!J42+'місц.-район.бюджет'!J42+обласной!J42+'госпрозрахунк.'!J42</f>
        <v>2132.7</v>
      </c>
      <c r="K42" s="24">
        <f>населення!K42+льготи!K42+субсидии!K42+'держ.бюджет'!K42+'місц.-район.бюджет'!K42+обласной!K42+'госпрозрахунк.'!K42</f>
        <v>1556</v>
      </c>
      <c r="L42" s="18">
        <f t="shared" si="7"/>
        <v>72.95915975055095</v>
      </c>
      <c r="M42" s="24">
        <f>населення!M42+льготи!M42+субсидии!M42+'держ.бюджет'!M42+'місц.-район.бюджет'!M42+обласной!M42+'госпрозрахунк.'!M42</f>
        <v>4081.3</v>
      </c>
      <c r="N42" s="24">
        <f>населення!N42+льготи!N42+субсидии!N42+'держ.бюджет'!N42+'місц.-район.бюджет'!N42+обласной!N42+'госпрозрахунк.'!N42</f>
        <v>1766.2</v>
      </c>
      <c r="O42" s="18">
        <f t="shared" si="8"/>
        <v>43.275426947296204</v>
      </c>
      <c r="P42" s="24">
        <f>населення!P42+льготи!P42+субсидии!P42+'держ.бюджет'!P42+'місц.-район.бюджет'!P42+обласной!P42+'госпрозрахунк.'!P42</f>
        <v>4940.3</v>
      </c>
      <c r="Q42" s="24">
        <f>населення!Q42+льготи!Q42+субсидии!Q42+'держ.бюджет'!Q42+'місц.-район.бюджет'!Q42+обласной!Q42+'госпрозрахунк.'!Q42</f>
        <v>3471.4</v>
      </c>
      <c r="R42" s="18">
        <f t="shared" si="9"/>
        <v>70.26698783474687</v>
      </c>
      <c r="S42" s="16">
        <f>населення!S42+льготи!S42+субсидии!S42+'держ.бюджет'!S42+'місц.-район.бюджет'!S42+'госпрозрахунк.'!S42</f>
        <v>4360.7</v>
      </c>
      <c r="T42" s="16">
        <f t="shared" si="10"/>
        <v>491.09999999999854</v>
      </c>
      <c r="U42" s="16">
        <f t="shared" si="11"/>
        <v>13976.199999999997</v>
      </c>
      <c r="V42" s="24"/>
      <c r="W42" s="24"/>
    </row>
    <row r="43" spans="1:23" ht="24.75" customHeight="1">
      <c r="A43" s="121">
        <v>33</v>
      </c>
      <c r="B43" s="25" t="s">
        <v>83</v>
      </c>
      <c r="C43" s="155">
        <f>населення!C43+льготи!C43+субсидии!C43+'держ.бюджет'!C43+'місц.-район.бюджет'!C43+обласной!C43+'госпрозрахунк.'!C43</f>
        <v>5908.2</v>
      </c>
      <c r="D43" s="41">
        <f>населення!D43+льготи!D43+субсидии!D43+'держ.бюджет'!D43+'місц.-район.бюджет'!D43+обласной!D43+'госпрозрахунк.'!D43</f>
        <v>10315.5</v>
      </c>
      <c r="E43" s="41">
        <f>населення!E43+льготи!E43+субсидии!E43+'держ.бюджет'!E43+'місц.-район.бюджет'!E43+обласной!E43+'госпрозрахунк.'!E43</f>
        <v>9044</v>
      </c>
      <c r="F43" s="40">
        <f t="shared" si="0"/>
        <v>87.67388880810431</v>
      </c>
      <c r="G43" s="24">
        <f>населення!G43+льготи!G43+субсидии!G43+'держ.бюджет'!G43+'місц.-район.бюджет'!G43+обласной!G43+'госпрозрахунк.'!G43</f>
        <v>31237.100000000002</v>
      </c>
      <c r="H43" s="24">
        <f>населення!H43+льготи!H43+субсидии!H43+'держ.бюджет'!H43+'місц.-район.бюджет'!H43+обласной!H43+'госпрозрахунк.'!H43</f>
        <v>30130.2</v>
      </c>
      <c r="I43" s="18">
        <f t="shared" si="12"/>
        <v>96.4564572255427</v>
      </c>
      <c r="J43" s="24">
        <f>населення!J43+льготи!J43+субсидии!J43+'держ.бюджет'!J43+'місц.-район.бюджет'!J43+обласной!J43+'госпрозрахунк.'!J43</f>
        <v>2423.2000000000003</v>
      </c>
      <c r="K43" s="24">
        <f>населення!K43+льготи!K43+субсидии!K43+'держ.бюджет'!K43+'місц.-район.бюджет'!K43+обласной!K43+'госпрозрахунк.'!K43</f>
        <v>1463.2</v>
      </c>
      <c r="L43" s="18">
        <f t="shared" si="7"/>
        <v>60.38296467481017</v>
      </c>
      <c r="M43" s="24">
        <f>населення!M43+льготи!M43+субсидии!M43+'держ.бюджет'!M43+'місц.-район.бюджет'!M43+обласной!M43+'госпрозрахунк.'!M43</f>
        <v>3188.4</v>
      </c>
      <c r="N43" s="24">
        <f>населення!N43+льготи!N43+субсидии!N43+'держ.бюджет'!N43+'місц.-район.бюджет'!N43+обласной!N43+'госпрозрахунк.'!N43</f>
        <v>1706.8999999999999</v>
      </c>
      <c r="O43" s="18">
        <f t="shared" si="8"/>
        <v>53.534688244887704</v>
      </c>
      <c r="P43" s="24">
        <f>населення!P43+льготи!P43+субсидии!P43+'держ.бюджет'!P43+'місц.-район.бюджет'!P43+обласной!P43+'госпрозрахунк.'!P43</f>
        <v>4703.9</v>
      </c>
      <c r="Q43" s="24">
        <f>населення!Q43+льготи!Q43+субсидии!Q43+'держ.бюджет'!Q43+'місц.-район.бюджет'!Q43+обласной!Q43+'госпрозрахунк.'!Q43</f>
        <v>5873.9</v>
      </c>
      <c r="R43" s="18">
        <f t="shared" si="9"/>
        <v>124.87297774187375</v>
      </c>
      <c r="S43" s="16">
        <f>населення!S43+льготи!S43+субсидии!S43+'держ.бюджет'!S43+'місц.-район.бюджет'!S43+обласной!S43+'госпрозрахунк.'!S43</f>
        <v>1271.5000000000002</v>
      </c>
      <c r="T43" s="16">
        <f t="shared" si="10"/>
        <v>1106.9000000000015</v>
      </c>
      <c r="U43" s="16">
        <f t="shared" si="11"/>
        <v>7015.100000000002</v>
      </c>
      <c r="V43" s="24"/>
      <c r="W43" s="24"/>
    </row>
    <row r="44" spans="1:23" s="7" customFormat="1" ht="24.75" customHeight="1">
      <c r="A44" s="160">
        <v>34</v>
      </c>
      <c r="B44" s="6" t="s">
        <v>84</v>
      </c>
      <c r="C44" s="154">
        <f>SUM(C45:C47)</f>
        <v>1195099.3</v>
      </c>
      <c r="D44" s="42">
        <f>SUM(D45:D47)</f>
        <v>755605.1</v>
      </c>
      <c r="E44" s="42">
        <f>SUM(E45:E47)</f>
        <v>575923.5</v>
      </c>
      <c r="F44" s="40">
        <f t="shared" si="0"/>
        <v>76.22017109201619</v>
      </c>
      <c r="G44" s="16">
        <f>SUM(G45:G47)</f>
        <v>2197772.3</v>
      </c>
      <c r="H44" s="16">
        <f>SUM(H45:H47)</f>
        <v>2233574.5</v>
      </c>
      <c r="I44" s="17">
        <f t="shared" si="12"/>
        <v>101.62902226040433</v>
      </c>
      <c r="J44" s="16">
        <f>SUM(J45:J47)</f>
        <v>193823.90000000002</v>
      </c>
      <c r="K44" s="16">
        <f>SUM(K45:K47)</f>
        <v>102283.7</v>
      </c>
      <c r="L44" s="17">
        <f t="shared" si="7"/>
        <v>52.7714590409129</v>
      </c>
      <c r="M44" s="16">
        <f>SUM(M45:M47)</f>
        <v>253615.1</v>
      </c>
      <c r="N44" s="16">
        <f>SUM(N45:N47)</f>
        <v>168493.5</v>
      </c>
      <c r="O44" s="17">
        <f>N44/M44*100</f>
        <v>66.43669876123306</v>
      </c>
      <c r="P44" s="16">
        <f>SUM(P45:P47)</f>
        <v>308166.1</v>
      </c>
      <c r="Q44" s="16">
        <f>SUM(Q45:Q47)</f>
        <v>305146.30000000005</v>
      </c>
      <c r="R44" s="17">
        <f>Q44/P44*100</f>
        <v>99.02007391468435</v>
      </c>
      <c r="S44" s="59">
        <f>SUM(S45:S47)</f>
        <v>179681.59999999998</v>
      </c>
      <c r="T44" s="59">
        <f>населення!T44+льготи!T44+субсидии!T44+'держ.бюджет'!T44+'місц.-район.бюджет'!T44+обласной!T44+'госпрозрахунк.'!T44</f>
        <v>45936.4</v>
      </c>
      <c r="U44" s="59">
        <f t="shared" si="11"/>
        <v>1159297.0999999996</v>
      </c>
      <c r="V44" s="24"/>
      <c r="W44" s="16"/>
    </row>
    <row r="45" spans="1:24" s="7" customFormat="1" ht="25.5" customHeight="1">
      <c r="A45" s="160"/>
      <c r="B45" s="23" t="s">
        <v>85</v>
      </c>
      <c r="C45" s="155">
        <f>населення!C45+льготи!C45+субсидии!C45+'держ.бюджет'!C45+'місц.-район.бюджет'!C45+обласной!C45+'госпрозрахунк.'!C45</f>
        <v>1183703</v>
      </c>
      <c r="D45" s="41">
        <f>населення!D45+льготи!D45+субсидии!D45+'держ.бюджет'!D45+'місц.-район.бюджет'!D45+обласной!D45+'госпрозрахунк.'!D45</f>
        <v>723565</v>
      </c>
      <c r="E45" s="41">
        <f>населення!E45+льготи!E45+субсидии!E45+'держ.бюджет'!E45+'місц.-район.бюджет'!E45+обласной!E45+'госпрозрахунк.'!E45</f>
        <v>544427</v>
      </c>
      <c r="F45" s="40">
        <f t="shared" si="0"/>
        <v>75.2423071873294</v>
      </c>
      <c r="G45" s="24">
        <f>населення!G45+льготи!G45+субсидии!G45+'держ.бюджет'!G45+'місц.-район.бюджет'!G45+обласной!G45+'госпрозрахунк.'!G45</f>
        <v>2050446</v>
      </c>
      <c r="H45" s="24">
        <f>населення!H45+льготи!H45+субсидии!H45+'держ.бюджет'!H45+'місц.-район.бюджет'!H45+обласной!H45+'госпрозрахунк.'!H45</f>
        <v>2077952</v>
      </c>
      <c r="I45" s="18">
        <f>H45/G45*100</f>
        <v>101.34146424729057</v>
      </c>
      <c r="J45" s="24">
        <f>населення!J45+льготи!J45+субсидии!J45+'держ.бюджет'!J45+'місц.-район.бюджет'!J45+обласной!J45+'госпрозрахунк.'!J45</f>
        <v>184538</v>
      </c>
      <c r="K45" s="24">
        <f>населення!K45+льготи!K45+субсидии!K45+'держ.бюджет'!K45+'місц.-район.бюджет'!K45+обласной!K45+'госпрозрахунк.'!K45</f>
        <v>95525</v>
      </c>
      <c r="L45" s="18">
        <f>K45/J45*100</f>
        <v>51.76440624695184</v>
      </c>
      <c r="M45" s="24">
        <f>населення!M45+льготи!M45+субсидии!M45+'держ.бюджет'!M45+'місц.-район.бюджет'!M45+обласной!M45+'госпрозрахунк.'!M45</f>
        <v>242445</v>
      </c>
      <c r="N45" s="24">
        <f>населення!N45+льготи!N45+субсидии!N45+'держ.бюджет'!N45+'місц.-район.бюджет'!N45+обласной!N45+'госпрозрахунк.'!N45</f>
        <v>157737</v>
      </c>
      <c r="O45" s="18">
        <f>N45/M45*100</f>
        <v>65.06094165687063</v>
      </c>
      <c r="P45" s="24">
        <f>населення!P45+льготи!P45+субсидии!P45+'держ.бюджет'!P45+'місц.-район.бюджет'!P45+обласной!P45+'госпрозрахунк.'!P45</f>
        <v>296582</v>
      </c>
      <c r="Q45" s="24">
        <f>населення!Q45+льготи!Q45+субсидии!Q45+'держ.бюджет'!Q45+'місц.-район.бюджет'!Q45+обласной!Q45+'госпрозрахунк.'!Q45</f>
        <v>291165</v>
      </c>
      <c r="R45" s="18">
        <f t="shared" si="9"/>
        <v>98.17352367979176</v>
      </c>
      <c r="S45" s="16">
        <f>населення!S45+льготи!S45+субсидии!S45+'держ.бюджет'!S45+'місц.-район.бюджет'!S45+обласной!S45+'госпрозрахунк.'!S45</f>
        <v>179138</v>
      </c>
      <c r="T45" s="24">
        <f t="shared" si="10"/>
        <v>-27506</v>
      </c>
      <c r="U45" s="24">
        <f>C45+G45-H45</f>
        <v>1156197</v>
      </c>
      <c r="V45" s="24"/>
      <c r="W45" s="24"/>
      <c r="X45" s="1"/>
    </row>
    <row r="46" spans="1:24" s="7" customFormat="1" ht="24.75" customHeight="1">
      <c r="A46" s="122" t="s">
        <v>11</v>
      </c>
      <c r="B46" s="23" t="s">
        <v>86</v>
      </c>
      <c r="C46" s="155">
        <f>населення!C46+льготи!C46+субсидии!C46+'держ.бюджет'!C46+'місц.-район.бюджет'!C46+обласной!C46+'госпрозрахунк.'!C46</f>
        <v>9171.1</v>
      </c>
      <c r="D46" s="41">
        <f>населення!D46+льготи!D46+субсидии!D46+'держ.бюджет'!D46+'місц.-район.бюджет'!D46+обласной!D46+'госпрозрахунк.'!D46</f>
        <v>22878.9</v>
      </c>
      <c r="E46" s="41">
        <f>населення!E46+льготи!E46+субсидии!E46+'держ.бюджет'!E46+'місц.-район.бюджет'!E46+обласной!E46+'госпрозрахунк.'!E46</f>
        <v>22367.600000000002</v>
      </c>
      <c r="F46" s="40">
        <f t="shared" si="0"/>
        <v>97.76518975999721</v>
      </c>
      <c r="G46" s="24">
        <f>населення!G46+льготи!G46+субсидии!G46+'держ.бюджет'!G46+'місц.-район.бюджет'!G46+обласной!G46+'госпрозрахунк.'!G46</f>
        <v>120352.8</v>
      </c>
      <c r="H46" s="24">
        <f>населення!H46+льготи!H46+субсидии!H46+'держ.бюджет'!H46+'місц.-район.бюджет'!H46+обласной!H46+'госпрозрахунк.'!H46</f>
        <v>127625.2</v>
      </c>
      <c r="I46" s="18">
        <f>H46/G46*100</f>
        <v>106.04256818287567</v>
      </c>
      <c r="J46" s="24">
        <f>населення!J46+льготи!J46+субсидии!J46+'держ.бюджет'!J46+'місц.-район.бюджет'!J46+обласной!J46+'госпрозрахунк.'!J46</f>
        <v>7324.199999999999</v>
      </c>
      <c r="K46" s="24">
        <f>населення!K46+льготи!K46+субсидии!K46+'держ.бюджет'!K46+'місц.-район.бюджет'!K46+обласной!K46+'госпрозрахунк.'!K46</f>
        <v>5909.400000000001</v>
      </c>
      <c r="L46" s="18">
        <f>K46/J46*100</f>
        <v>80.68321454902927</v>
      </c>
      <c r="M46" s="24">
        <f>населення!M46+льготи!M46+субсидии!M46+'держ.бюджет'!M46+'місц.-район.бюджет'!M46+обласной!M46+'госпрозрахунк.'!M46</f>
        <v>8354.7</v>
      </c>
      <c r="N46" s="24">
        <f>населення!N46+льготи!N46+субсидии!N46+'держ.бюджет'!N46+'місц.-район.бюджет'!N46+обласной!N46+'госпрозрахунк.'!N46</f>
        <v>7552.8</v>
      </c>
      <c r="O46" s="18">
        <f>N46/M46*100</f>
        <v>90.40180975977593</v>
      </c>
      <c r="P46" s="24">
        <f>населення!P46+льготи!P46+субсидии!P46+'держ.бюджет'!P46+'місц.-район.бюджет'!P46+обласной!P46+'госпрозрахунк.'!P46</f>
        <v>7200</v>
      </c>
      <c r="Q46" s="24">
        <f>населення!Q46+льготи!Q46+субсидии!Q46+'держ.бюджет'!Q46+'місц.-район.бюджет'!Q46+обласной!Q46+'госпрозрахунк.'!Q46</f>
        <v>8905.4</v>
      </c>
      <c r="R46" s="18">
        <f t="shared" si="9"/>
        <v>123.6861111111111</v>
      </c>
      <c r="S46" s="16">
        <f>населення!S46+льготи!S46+субсидии!S46+'держ.бюджет'!S46+'місц.-район.бюджет'!S46+обласной!S46+'госпрозрахунк.'!S46</f>
        <v>511.2999999999993</v>
      </c>
      <c r="T46" s="24">
        <f t="shared" si="10"/>
        <v>-7272.399999999994</v>
      </c>
      <c r="U46" s="24">
        <f>C46+G46-H46</f>
        <v>1898.7000000000116</v>
      </c>
      <c r="V46" s="24"/>
      <c r="W46" s="24"/>
      <c r="X46" s="1"/>
    </row>
    <row r="47" spans="1:24" s="7" customFormat="1" ht="24.75" customHeight="1">
      <c r="A47" s="122"/>
      <c r="B47" s="23" t="s">
        <v>77</v>
      </c>
      <c r="C47" s="155">
        <f>населення!C47+льготи!C47+субсидии!C47+'держ.бюджет'!C47+'місц.-район.бюджет'!C47+обласной!C47+'госпрозрахунк.'!C47</f>
        <v>2225.2</v>
      </c>
      <c r="D47" s="41">
        <f>населення!D47+льготи!D47+субсидии!D47+'держ.бюджет'!D47+'місц.-район.бюджет'!D47+обласной!D47+'госпрозрахунк.'!D47</f>
        <v>9161.2</v>
      </c>
      <c r="E47" s="41">
        <f>населення!E47+льготи!E47+субсидии!E47+'держ.бюджет'!E47+'місц.-район.бюджет'!E47+обласной!E47+'госпрозрахунк.'!E47</f>
        <v>9128.900000000001</v>
      </c>
      <c r="F47" s="40">
        <f>E47/D47*100</f>
        <v>99.64742610138411</v>
      </c>
      <c r="G47" s="24">
        <f>населення!G47+льготи!G47+субсидии!G47+'держ.бюджет'!G47+'місц.-район.бюджет'!G47+обласной!G47+'госпрозрахунк.'!G47</f>
        <v>26973.5</v>
      </c>
      <c r="H47" s="24">
        <f>населення!H47+льготи!H47+субсидии!H47+'держ.бюджет'!H47+'місц.-район.бюджет'!H47+обласной!H47+'госпрозрахунк.'!H47</f>
        <v>27997.3</v>
      </c>
      <c r="I47" s="18">
        <f>H47/G47*100</f>
        <v>103.7955771405268</v>
      </c>
      <c r="J47" s="24">
        <f>населення!J47+льготи!J47+субсидии!J47+'держ.бюджет'!J47+'місц.-район.бюджет'!J47+обласной!J47+'госпрозрахунк.'!J47</f>
        <v>1961.6999999999998</v>
      </c>
      <c r="K47" s="24">
        <f>населення!K47+льготи!K47+субсидии!K47+'держ.бюджет'!K47+'місц.-район.бюджет'!K47+обласной!K47+'госпрозрахунк.'!K47</f>
        <v>849.3</v>
      </c>
      <c r="L47" s="18">
        <f>K47/J47*100</f>
        <v>43.294081663862976</v>
      </c>
      <c r="M47" s="24">
        <f>населення!M47+льготи!M47+субсидии!M47+'держ.бюджет'!M47+'місц.-район.бюджет'!M47+обласной!M47+'госпрозрахунк.'!M47</f>
        <v>2815.4</v>
      </c>
      <c r="N47" s="24">
        <f>населення!N47+льготи!N47+субсидии!N47+'держ.бюджет'!N47+'місц.-район.бюджет'!N47+обласной!N47+'госпрозрахунк.'!N47</f>
        <v>3203.7000000000003</v>
      </c>
      <c r="O47" s="18">
        <f>N47/M47*100</f>
        <v>113.79200113660582</v>
      </c>
      <c r="P47" s="24">
        <f>населення!P47+льготи!P47+субсидии!P47+'держ.бюджет'!P47+'місц.-район.бюджет'!P47+обласной!P47+'госпрозрахунк.'!P47</f>
        <v>4384.099999999999</v>
      </c>
      <c r="Q47" s="24">
        <f>населення!Q47+льготи!Q47+субсидии!Q47+'держ.бюджет'!Q47+'місц.-район.бюджет'!Q47+обласной!Q47+'госпрозрахунк.'!Q47</f>
        <v>5075.900000000001</v>
      </c>
      <c r="R47" s="18">
        <f t="shared" si="9"/>
        <v>115.77974954950847</v>
      </c>
      <c r="S47" s="16">
        <f>населення!S47+льготи!S47+субсидии!S47+'держ.бюджет'!S47+'місц.-район.бюджет'!S47+обласной!S47+'госпрозрахунк.'!S47</f>
        <v>32.300000000000296</v>
      </c>
      <c r="T47" s="24">
        <f t="shared" si="10"/>
        <v>-1023.7999999999993</v>
      </c>
      <c r="U47" s="24">
        <f>C47+G47-H47</f>
        <v>1201.4000000000015</v>
      </c>
      <c r="V47" s="24"/>
      <c r="W47" s="24"/>
      <c r="X47" s="1"/>
    </row>
    <row r="48" spans="1:23" s="7" customFormat="1" ht="24.75" customHeight="1">
      <c r="A48" s="160"/>
      <c r="B48" s="6" t="s">
        <v>87</v>
      </c>
      <c r="C48" s="154">
        <f>C8+C44</f>
        <v>1363767.2</v>
      </c>
      <c r="D48" s="42">
        <f>D8+D44</f>
        <v>917417.3</v>
      </c>
      <c r="E48" s="42">
        <f>E8+E44</f>
        <v>713709.4</v>
      </c>
      <c r="F48" s="40">
        <f>E48/D48*100</f>
        <v>77.79550265729674</v>
      </c>
      <c r="G48" s="16">
        <f>G8+G44</f>
        <v>2613888.5</v>
      </c>
      <c r="H48" s="16">
        <f>H8+H44</f>
        <v>2655722.7</v>
      </c>
      <c r="I48" s="17">
        <f>H48/G48*100</f>
        <v>101.6004584740321</v>
      </c>
      <c r="J48" s="16">
        <f>J8+J44</f>
        <v>232203.30000000002</v>
      </c>
      <c r="K48" s="16">
        <f>K8+K44</f>
        <v>127367.7</v>
      </c>
      <c r="L48" s="17">
        <f>K48/J48*100</f>
        <v>54.851804431719955</v>
      </c>
      <c r="M48" s="16">
        <f>M8+M44</f>
        <v>302045.8</v>
      </c>
      <c r="N48" s="16">
        <f>N8+N44</f>
        <v>208293.2</v>
      </c>
      <c r="O48" s="17">
        <f>N48/M48*100</f>
        <v>68.9607999846381</v>
      </c>
      <c r="P48" s="16">
        <f>P8+P44</f>
        <v>383168.19999999995</v>
      </c>
      <c r="Q48" s="16">
        <f>Q8+Q44</f>
        <v>377997.80000000005</v>
      </c>
      <c r="R48" s="17">
        <f>Q48/P48*100</f>
        <v>98.65061871000779</v>
      </c>
      <c r="S48" s="16">
        <f>S8+S44</f>
        <v>211944.49999999997</v>
      </c>
      <c r="T48" s="108">
        <f>населення!T48+льготи!T48+субсидии!T48+'держ.бюджет'!T48+'місц.-район.бюджет'!T48+обласной!T48+'госпрозрахунк.'!T48</f>
        <v>73484.3</v>
      </c>
      <c r="U48" s="59">
        <f>C48+G48-H48</f>
        <v>1321933</v>
      </c>
      <c r="V48" s="24"/>
      <c r="W48" s="16"/>
    </row>
    <row r="49" spans="1:23" s="7" customFormat="1" ht="24.7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"/>
      <c r="W49" s="6"/>
    </row>
    <row r="50" spans="1:23" s="7" customFormat="1" ht="15.75" customHeight="1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4"/>
      <c r="U50" s="164"/>
      <c r="V50" s="165"/>
      <c r="W50" s="6"/>
    </row>
    <row r="51" spans="1:23" s="7" customFormat="1" ht="6.75" customHeight="1" hidden="1">
      <c r="A51" s="100"/>
      <c r="B51" s="56"/>
      <c r="C51" s="166"/>
      <c r="D51" s="167"/>
      <c r="E51" s="167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6"/>
      <c r="W51" s="6"/>
    </row>
    <row r="52" spans="1:23" s="7" customFormat="1" ht="18" customHeight="1" hidden="1">
      <c r="A52" s="160"/>
      <c r="B52" s="7" t="s">
        <v>92</v>
      </c>
      <c r="C52" s="168"/>
      <c r="D52" s="30"/>
      <c r="E52" s="30"/>
      <c r="F52" s="21"/>
      <c r="G52" s="79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6"/>
      <c r="W52" s="6"/>
    </row>
    <row r="53" spans="1:21" ht="7.5" customHeight="1" hidden="1">
      <c r="A53" s="169"/>
      <c r="B53" s="7"/>
      <c r="C53" s="168"/>
      <c r="D53" s="30"/>
      <c r="E53" s="3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9"/>
      <c r="U53" s="30"/>
    </row>
    <row r="54" spans="1:21" ht="18" customHeight="1" hidden="1">
      <c r="A54" s="160"/>
      <c r="B54" s="7" t="s">
        <v>93</v>
      </c>
      <c r="C54" s="168"/>
      <c r="D54" s="30"/>
      <c r="E54" s="30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88"/>
      <c r="U54" s="30"/>
    </row>
    <row r="55" spans="2:21" ht="18.75">
      <c r="B55" s="7"/>
      <c r="C55" s="170"/>
      <c r="D55" s="171"/>
      <c r="E55" s="171"/>
      <c r="F55" s="21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64"/>
      <c r="T55" s="9"/>
      <c r="U55" s="9"/>
    </row>
    <row r="56" spans="1:23" s="180" customFormat="1" ht="47.25" customHeight="1">
      <c r="A56" s="172"/>
      <c r="B56" s="208" t="s">
        <v>119</v>
      </c>
      <c r="C56" s="208"/>
      <c r="D56" s="208"/>
      <c r="E56" s="208"/>
      <c r="F56" s="208"/>
      <c r="G56" s="173"/>
      <c r="H56" s="173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5"/>
      <c r="T56" s="176"/>
      <c r="U56" s="177" t="s">
        <v>118</v>
      </c>
      <c r="V56" s="178"/>
      <c r="W56" s="179"/>
    </row>
    <row r="57" spans="1:23" ht="73.5" customHeight="1" hidden="1">
      <c r="A57" s="181" t="s">
        <v>116</v>
      </c>
      <c r="B57" s="181"/>
      <c r="C57" s="181"/>
      <c r="D57" s="18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1"/>
      <c r="W57" s="1"/>
    </row>
    <row r="58" spans="2:21" ht="18.75">
      <c r="B58" s="1" t="s">
        <v>43</v>
      </c>
      <c r="C58" s="155">
        <v>1589.6</v>
      </c>
      <c r="D58" s="24"/>
      <c r="E58" s="24"/>
      <c r="F58" s="17"/>
      <c r="G58" s="24">
        <f>населення!G57+льготи!G58+субсидии!G58+'місц.-район.бюджет'!G58+'госпрозрахунк.'!G58</f>
        <v>2295.7</v>
      </c>
      <c r="H58" s="24">
        <f>населення!H57+льготи!H58+субсидии!H58+'місц.-район.бюджет'!H58+'госпрозрахунк.'!H58</f>
        <v>2665.4</v>
      </c>
      <c r="I58" s="17">
        <f>H58/G58*100</f>
        <v>116.10402056017774</v>
      </c>
      <c r="J58" s="24">
        <f>населення!J57+льготи!J58+субсидии!J58+'держ.бюджет'!J57+'місц.-район.бюджет'!J58+обласной!J59+'госпрозрахунк.'!J58</f>
        <v>251.39999999999998</v>
      </c>
      <c r="K58" s="24">
        <f>населення!K57+льготи!K58+субсидии!K58+'держ.бюджет'!K57+'місц.-район.бюджет'!K58+обласной!K59+'госпрозрахунк.'!K58</f>
        <v>148.20000000000002</v>
      </c>
      <c r="L58" s="17">
        <f>K58/J58*100</f>
        <v>58.94988066825777</v>
      </c>
      <c r="M58" s="17"/>
      <c r="N58" s="17"/>
      <c r="O58" s="17"/>
      <c r="P58" s="17"/>
      <c r="Q58" s="17"/>
      <c r="R58" s="17"/>
      <c r="S58" s="16">
        <f>населення!S59+льготи!S60+субсидии!S61+'держ.бюджет'!S59+'місц.-район.бюджет'!S60+обласной!S61+'госпрозрахунк.'!S60</f>
        <v>0</v>
      </c>
      <c r="T58" s="86"/>
      <c r="U58" s="94">
        <f>C58+G58-H58</f>
        <v>1219.8999999999996</v>
      </c>
    </row>
    <row r="59" spans="3:21" ht="18.75">
      <c r="C59" s="154"/>
      <c r="D59" s="24"/>
      <c r="E59" s="24"/>
      <c r="F59" s="17"/>
      <c r="G59" s="24"/>
      <c r="H59" s="24"/>
      <c r="I59" s="17"/>
      <c r="J59" s="16"/>
      <c r="K59" s="16"/>
      <c r="L59" s="17"/>
      <c r="M59" s="17"/>
      <c r="N59" s="17"/>
      <c r="O59" s="17"/>
      <c r="P59" s="17"/>
      <c r="Q59" s="17"/>
      <c r="R59" s="17"/>
      <c r="S59" s="16">
        <f>населення!S60+льготи!S61+субсидии!S62+'держ.бюджет'!S60+'місц.-район.бюджет'!S61+обласной!S62+'госпрозрахунк.'!S61</f>
        <v>0</v>
      </c>
      <c r="T59" s="90"/>
      <c r="U59" s="94"/>
    </row>
    <row r="60" ht="18.75">
      <c r="T60" s="90"/>
    </row>
    <row r="61" spans="20:21" ht="18.75">
      <c r="T61" s="90"/>
      <c r="U61" s="19"/>
    </row>
    <row r="62" spans="20:21" ht="18.75">
      <c r="T62" s="90"/>
      <c r="U62" s="19"/>
    </row>
    <row r="63" ht="18.75">
      <c r="T63" s="90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7">
    <mergeCell ref="B56:F56"/>
    <mergeCell ref="D5:F5"/>
    <mergeCell ref="B2:U2"/>
    <mergeCell ref="B3:U3"/>
    <mergeCell ref="B4:F4"/>
    <mergeCell ref="T5:T7"/>
    <mergeCell ref="C5:C6"/>
    <mergeCell ref="A57:D57"/>
    <mergeCell ref="V5:W7"/>
    <mergeCell ref="M5:O5"/>
    <mergeCell ref="P5:R5"/>
    <mergeCell ref="U5:U7"/>
    <mergeCell ref="G5:I5"/>
    <mergeCell ref="S5:S7"/>
    <mergeCell ref="D30:U32"/>
    <mergeCell ref="D24:U24"/>
    <mergeCell ref="J5:L5"/>
  </mergeCells>
  <printOptions horizontalCentered="1"/>
  <pageMargins left="0" right="0" top="0" bottom="0" header="0" footer="0"/>
  <pageSetup fitToHeight="1" fitToWidth="1" horizontalDpi="600" verticalDpi="600" orientation="portrait" paperSize="9" scale="53" r:id="rId2"/>
  <rowBreaks count="1" manualBreakCount="1">
    <brk id="5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4"/>
  <sheetViews>
    <sheetView view="pageBreakPreview" zoomScale="75" zoomScaleNormal="75" zoomScaleSheetLayoutView="75" zoomScalePageLayoutView="0" workbookViewId="0" topLeftCell="A2">
      <pane xSplit="4" ySplit="7" topLeftCell="G43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45" sqref="H45"/>
    </sheetView>
  </sheetViews>
  <sheetFormatPr defaultColWidth="7.875" defaultRowHeight="12.75"/>
  <cols>
    <col min="1" max="1" width="7.75390625" style="14" customWidth="1"/>
    <col min="2" max="2" width="56.75390625" style="1" customWidth="1"/>
    <col min="3" max="3" width="16.75390625" style="39" customWidth="1"/>
    <col min="4" max="5" width="14.625" style="39" hidden="1" customWidth="1"/>
    <col min="6" max="6" width="11.75390625" style="39" hidden="1" customWidth="1"/>
    <col min="7" max="7" width="19.75390625" style="1" customWidth="1"/>
    <col min="8" max="8" width="19.875" style="1" customWidth="1"/>
    <col min="9" max="9" width="13.7539062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4" hidden="1" customWidth="1"/>
    <col min="20" max="20" width="22.625" style="74" customWidth="1"/>
    <col min="21" max="21" width="22.625" style="1" customWidth="1"/>
    <col min="22" max="22" width="18.875" style="1" customWidth="1"/>
    <col min="23" max="23" width="14.875" style="1" customWidth="1"/>
    <col min="24" max="16384" width="7.875" style="1" customWidth="1"/>
  </cols>
  <sheetData>
    <row r="1" spans="7:21" ht="18.75"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2:21" ht="18.75">
      <c r="B2" s="232" t="s">
        <v>101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2:21" ht="18.75">
      <c r="B3" s="212" t="s">
        <v>122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2:21" ht="18.75">
      <c r="B4" s="213"/>
      <c r="C4" s="213"/>
      <c r="D4" s="14"/>
      <c r="E4" s="14"/>
      <c r="F4" s="14"/>
      <c r="U4" s="74" t="s">
        <v>54</v>
      </c>
    </row>
    <row r="5" spans="1:21" ht="36.75" customHeight="1">
      <c r="A5" s="117"/>
      <c r="B5" s="3"/>
      <c r="C5" s="214" t="s">
        <v>1</v>
      </c>
      <c r="D5" s="219" t="s">
        <v>110</v>
      </c>
      <c r="E5" s="220"/>
      <c r="F5" s="221"/>
      <c r="G5" s="216" t="s">
        <v>121</v>
      </c>
      <c r="H5" s="217"/>
      <c r="I5" s="218"/>
      <c r="J5" s="188" t="s">
        <v>109</v>
      </c>
      <c r="K5" s="189"/>
      <c r="L5" s="190"/>
      <c r="M5" s="188" t="s">
        <v>112</v>
      </c>
      <c r="N5" s="189"/>
      <c r="O5" s="190"/>
      <c r="P5" s="188" t="s">
        <v>113</v>
      </c>
      <c r="Q5" s="189"/>
      <c r="R5" s="190"/>
      <c r="S5" s="197" t="s">
        <v>114</v>
      </c>
      <c r="T5" s="197" t="s">
        <v>123</v>
      </c>
      <c r="U5" s="191" t="s">
        <v>124</v>
      </c>
    </row>
    <row r="6" spans="1:21" ht="18.75">
      <c r="A6" s="4" t="s">
        <v>39</v>
      </c>
      <c r="B6" s="4" t="s">
        <v>50</v>
      </c>
      <c r="C6" s="215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8"/>
      <c r="T6" s="198"/>
      <c r="U6" s="192"/>
    </row>
    <row r="7" spans="1:21" ht="38.2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9"/>
      <c r="T7" s="199"/>
      <c r="U7" s="193"/>
    </row>
    <row r="8" spans="1:23" s="7" customFormat="1" ht="36" customHeight="1">
      <c r="A8" s="119"/>
      <c r="B8" s="75" t="s">
        <v>55</v>
      </c>
      <c r="C8" s="66">
        <f>SUM(C9:C43)</f>
        <v>136590.8</v>
      </c>
      <c r="D8" s="40">
        <f>SUM(D9:D43)</f>
        <v>51867.299999999996</v>
      </c>
      <c r="E8" s="40">
        <f>SUM(E9:E43)</f>
        <v>36160.399999999994</v>
      </c>
      <c r="F8" s="40">
        <f aca="true" t="shared" si="0" ref="F8:F14">E8/D8*100</f>
        <v>69.71714355673035</v>
      </c>
      <c r="G8" s="17">
        <f>SUM(G9:G43)</f>
        <v>108081.5</v>
      </c>
      <c r="H8" s="17">
        <f>SUM(H9:H43)</f>
        <v>120944.2</v>
      </c>
      <c r="I8" s="17">
        <f>H8/G8*100</f>
        <v>111.90092661556325</v>
      </c>
      <c r="J8" s="17">
        <f>SUM(J9:J43)</f>
        <v>15569.5</v>
      </c>
      <c r="K8" s="17">
        <f>SUM(K9:K43)</f>
        <v>7672.5</v>
      </c>
      <c r="L8" s="17">
        <f>K8/J8*100</f>
        <v>49.27903914705033</v>
      </c>
      <c r="M8" s="17">
        <f>SUM(M9:M43)</f>
        <v>17050.899999999998</v>
      </c>
      <c r="N8" s="17">
        <f>SUM(N9:N43)</f>
        <v>12641.800000000001</v>
      </c>
      <c r="O8" s="17">
        <f>N8/M8*100</f>
        <v>74.14154091572881</v>
      </c>
      <c r="P8" s="17">
        <f>SUM(P9:P43)</f>
        <v>19246.899999999998</v>
      </c>
      <c r="Q8" s="17">
        <f>SUM(Q9:Q43)</f>
        <v>15846.1</v>
      </c>
      <c r="R8" s="17">
        <f>Q8/P8*100</f>
        <v>82.33066104151838</v>
      </c>
      <c r="S8" s="105">
        <f>SUMIF(S9:S43,"&gt;0",S9:S43)</f>
        <v>15768.199999999999</v>
      </c>
      <c r="T8" s="105">
        <f>SUMIF(T9:T43,"&gt;0",T9:T43)</f>
        <v>1678.5999999999985</v>
      </c>
      <c r="U8" s="105">
        <f>SUMIF(U9:U43,"&gt;0",U9:U43)</f>
        <v>123728.09999999999</v>
      </c>
      <c r="V8" s="105">
        <f>SUMIF(T9:T43,"&lt;0",T9:T43)</f>
        <v>-14541.300000000001</v>
      </c>
      <c r="W8" s="105">
        <f>SUMIF(U9:U43,"&lt;0",U9:U43)</f>
        <v>0</v>
      </c>
    </row>
    <row r="9" spans="1:21" ht="36.75" customHeight="1">
      <c r="A9" s="120">
        <v>1</v>
      </c>
      <c r="B9" s="23" t="s">
        <v>56</v>
      </c>
      <c r="C9" s="41">
        <v>9220.6</v>
      </c>
      <c r="D9" s="41">
        <f>J9+M9+P9</f>
        <v>4651.200000000001</v>
      </c>
      <c r="E9" s="41">
        <f>K9+N9+Q9</f>
        <v>2970.3</v>
      </c>
      <c r="F9" s="92">
        <f t="shared" si="0"/>
        <v>63.86093911248709</v>
      </c>
      <c r="G9" s="18">
        <v>10943.4</v>
      </c>
      <c r="H9" s="18">
        <v>10451.2</v>
      </c>
      <c r="I9" s="18">
        <f aca="true" t="shared" si="1" ref="I9:I28">H9/G9*100</f>
        <v>95.50231189575453</v>
      </c>
      <c r="J9" s="18">
        <v>1455.9</v>
      </c>
      <c r="K9" s="18">
        <v>402.5</v>
      </c>
      <c r="L9" s="18">
        <f>K9/J9*100</f>
        <v>27.64612954186414</v>
      </c>
      <c r="M9" s="18">
        <v>1450.9</v>
      </c>
      <c r="N9" s="18">
        <v>1203.2</v>
      </c>
      <c r="O9" s="18">
        <f>N9/M9*100</f>
        <v>82.92783789372113</v>
      </c>
      <c r="P9" s="18">
        <v>1744.4</v>
      </c>
      <c r="Q9" s="18">
        <v>1364.6</v>
      </c>
      <c r="R9" s="18">
        <f>Q9/P9*100</f>
        <v>78.22747076358633</v>
      </c>
      <c r="S9" s="68">
        <f>D9-E9</f>
        <v>1680.9000000000005</v>
      </c>
      <c r="T9" s="68">
        <f>G9-H9</f>
        <v>492.1999999999989</v>
      </c>
      <c r="U9" s="16">
        <f aca="true" t="shared" si="2" ref="U9:U22">C9+G9-H9</f>
        <v>9712.8</v>
      </c>
    </row>
    <row r="10" spans="1:21" ht="41.25" customHeight="1">
      <c r="A10" s="120">
        <v>2</v>
      </c>
      <c r="B10" s="53" t="s">
        <v>91</v>
      </c>
      <c r="C10" s="41">
        <v>53.1</v>
      </c>
      <c r="D10" s="41">
        <f>J10+M10+P10</f>
        <v>71.6</v>
      </c>
      <c r="E10" s="41">
        <f>K10+N10+Q10</f>
        <v>22.2</v>
      </c>
      <c r="F10" s="92">
        <f t="shared" si="0"/>
        <v>31.005586592178773</v>
      </c>
      <c r="G10" s="18">
        <v>91.8</v>
      </c>
      <c r="H10" s="18">
        <v>91.2</v>
      </c>
      <c r="I10" s="18">
        <f t="shared" si="1"/>
        <v>99.34640522875817</v>
      </c>
      <c r="J10" s="18">
        <v>19.2</v>
      </c>
      <c r="K10" s="18">
        <v>0.2</v>
      </c>
      <c r="L10" s="18">
        <f aca="true" t="shared" si="3" ref="L10:L22">K10/J10*100</f>
        <v>1.0416666666666667</v>
      </c>
      <c r="M10" s="18">
        <v>26.6</v>
      </c>
      <c r="N10" s="18">
        <v>7</v>
      </c>
      <c r="O10" s="18">
        <f>N10/M10*100</f>
        <v>26.31578947368421</v>
      </c>
      <c r="P10" s="18">
        <v>25.8</v>
      </c>
      <c r="Q10" s="18">
        <v>15</v>
      </c>
      <c r="R10" s="18">
        <f>Q10/P10*100</f>
        <v>58.139534883720934</v>
      </c>
      <c r="S10" s="68">
        <f aca="true" t="shared" si="4" ref="S10:T22">D10-E10</f>
        <v>49.39999999999999</v>
      </c>
      <c r="T10" s="68">
        <f>G10-H10</f>
        <v>0.5999999999999943</v>
      </c>
      <c r="U10" s="16">
        <f t="shared" si="2"/>
        <v>53.7</v>
      </c>
    </row>
    <row r="11" spans="1:21" ht="35.25" customHeight="1">
      <c r="A11" s="120">
        <v>3</v>
      </c>
      <c r="B11" s="25" t="s">
        <v>108</v>
      </c>
      <c r="C11" s="41"/>
      <c r="D11" s="34">
        <f aca="true" t="shared" si="5" ref="D11:D23">J11</f>
        <v>0</v>
      </c>
      <c r="E11" s="34">
        <f>K11</f>
        <v>0</v>
      </c>
      <c r="F11" s="26" t="e">
        <f t="shared" si="0"/>
        <v>#DIV/0!</v>
      </c>
      <c r="G11" s="26"/>
      <c r="H11" s="26"/>
      <c r="I11" s="35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26"/>
      <c r="P11" s="26"/>
      <c r="Q11" s="26"/>
      <c r="R11" s="26"/>
      <c r="S11" s="104">
        <f t="shared" si="4"/>
        <v>0</v>
      </c>
      <c r="T11" s="104" t="e">
        <f t="shared" si="4"/>
        <v>#DIV/0!</v>
      </c>
      <c r="U11" s="80">
        <f t="shared" si="2"/>
        <v>0</v>
      </c>
    </row>
    <row r="12" spans="1:21" ht="24" customHeight="1">
      <c r="A12" s="120">
        <v>4</v>
      </c>
      <c r="B12" s="23" t="s">
        <v>57</v>
      </c>
      <c r="C12" s="41"/>
      <c r="D12" s="34"/>
      <c r="E12" s="34"/>
      <c r="F12" s="26"/>
      <c r="G12" s="18"/>
      <c r="H12" s="18"/>
      <c r="I12" s="26"/>
      <c r="J12" s="18"/>
      <c r="K12" s="18"/>
      <c r="L12" s="26" t="e">
        <f t="shared" si="3"/>
        <v>#DIV/0!</v>
      </c>
      <c r="M12" s="26"/>
      <c r="N12" s="26"/>
      <c r="O12" s="26"/>
      <c r="P12" s="26"/>
      <c r="Q12" s="26"/>
      <c r="R12" s="26"/>
      <c r="S12" s="104">
        <f t="shared" si="4"/>
        <v>0</v>
      </c>
      <c r="T12" s="104">
        <f t="shared" si="4"/>
        <v>0</v>
      </c>
      <c r="U12" s="16">
        <f t="shared" si="2"/>
        <v>0</v>
      </c>
    </row>
    <row r="13" spans="1:21" ht="24" customHeight="1">
      <c r="A13" s="120">
        <v>5</v>
      </c>
      <c r="B13" s="23" t="s">
        <v>89</v>
      </c>
      <c r="C13" s="41">
        <f>941.6-33.3</f>
        <v>908.3000000000001</v>
      </c>
      <c r="D13" s="41">
        <f>J13+M13+P13</f>
        <v>802.5</v>
      </c>
      <c r="E13" s="41">
        <f>K13+N13+Q13</f>
        <v>444.1</v>
      </c>
      <c r="F13" s="92">
        <f t="shared" si="0"/>
        <v>55.33956386292835</v>
      </c>
      <c r="G13" s="18">
        <v>1196.7</v>
      </c>
      <c r="H13" s="18">
        <v>1647.9</v>
      </c>
      <c r="I13" s="18">
        <f t="shared" si="1"/>
        <v>137.70368513411884</v>
      </c>
      <c r="J13" s="18">
        <v>209</v>
      </c>
      <c r="K13" s="18">
        <v>22</v>
      </c>
      <c r="L13" s="18">
        <f t="shared" si="3"/>
        <v>10.526315789473683</v>
      </c>
      <c r="M13" s="18">
        <v>253.3</v>
      </c>
      <c r="N13" s="18">
        <v>190</v>
      </c>
      <c r="O13" s="18">
        <f>N13/M13*100</f>
        <v>75.00986971969996</v>
      </c>
      <c r="P13" s="18">
        <v>340.2</v>
      </c>
      <c r="Q13" s="18">
        <v>232.1</v>
      </c>
      <c r="R13" s="18">
        <f>Q13/P13*100</f>
        <v>68.22457378012933</v>
      </c>
      <c r="S13" s="68">
        <f t="shared" si="4"/>
        <v>358.4</v>
      </c>
      <c r="T13" s="68">
        <f>G13-H13</f>
        <v>-451.20000000000005</v>
      </c>
      <c r="U13" s="16">
        <f t="shared" si="2"/>
        <v>457.0999999999999</v>
      </c>
    </row>
    <row r="14" spans="1:21" ht="24" customHeight="1">
      <c r="A14" s="120">
        <v>6</v>
      </c>
      <c r="B14" s="23" t="s">
        <v>58</v>
      </c>
      <c r="C14" s="41">
        <v>100.2</v>
      </c>
      <c r="D14" s="41">
        <f>J14+M14+P14</f>
        <v>35.2</v>
      </c>
      <c r="E14" s="41">
        <f>K14+N14+Q14</f>
        <v>49.3</v>
      </c>
      <c r="F14" s="92">
        <f t="shared" si="0"/>
        <v>140.05681818181816</v>
      </c>
      <c r="G14" s="18">
        <v>84.4</v>
      </c>
      <c r="H14" s="18">
        <v>94.8</v>
      </c>
      <c r="I14" s="18">
        <f t="shared" si="1"/>
        <v>112.32227488151658</v>
      </c>
      <c r="J14" s="18">
        <v>12</v>
      </c>
      <c r="K14" s="18">
        <v>14.8</v>
      </c>
      <c r="L14" s="18">
        <f t="shared" si="3"/>
        <v>123.33333333333334</v>
      </c>
      <c r="M14" s="18">
        <v>12.1</v>
      </c>
      <c r="N14" s="18">
        <v>11.1</v>
      </c>
      <c r="O14" s="18">
        <f>N14/M14*100</f>
        <v>91.73553719008264</v>
      </c>
      <c r="P14" s="18">
        <v>11.1</v>
      </c>
      <c r="Q14" s="18">
        <v>23.4</v>
      </c>
      <c r="R14" s="18">
        <f>Q14/P14*100</f>
        <v>210.81081081081078</v>
      </c>
      <c r="S14" s="68">
        <f t="shared" si="4"/>
        <v>-14.099999999999994</v>
      </c>
      <c r="T14" s="68">
        <f aca="true" t="shared" si="6" ref="T14:T20">G14-H14</f>
        <v>-10.399999999999991</v>
      </c>
      <c r="U14" s="16">
        <f t="shared" si="2"/>
        <v>89.80000000000003</v>
      </c>
    </row>
    <row r="15" spans="1:21" ht="24" customHeight="1">
      <c r="A15" s="120">
        <v>7</v>
      </c>
      <c r="B15" s="23" t="s">
        <v>59</v>
      </c>
      <c r="C15" s="41">
        <v>1.2</v>
      </c>
      <c r="D15" s="34">
        <f t="shared" si="5"/>
        <v>0</v>
      </c>
      <c r="E15" s="34">
        <f>K15</f>
        <v>0</v>
      </c>
      <c r="F15" s="26" t="e">
        <f>E11/D11*100</f>
        <v>#DIV/0!</v>
      </c>
      <c r="G15" s="26"/>
      <c r="H15" s="18">
        <v>0</v>
      </c>
      <c r="I15" s="35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26"/>
      <c r="P15" s="26"/>
      <c r="Q15" s="26"/>
      <c r="R15" s="26"/>
      <c r="S15" s="68">
        <f t="shared" si="4"/>
        <v>0</v>
      </c>
      <c r="T15" s="68"/>
      <c r="U15" s="16">
        <f t="shared" si="2"/>
        <v>1.2</v>
      </c>
    </row>
    <row r="16" spans="1:21" ht="27" customHeight="1">
      <c r="A16" s="120">
        <v>8</v>
      </c>
      <c r="B16" s="23" t="s">
        <v>60</v>
      </c>
      <c r="C16" s="41">
        <v>809.3</v>
      </c>
      <c r="D16" s="41">
        <f>J16+M16+P16</f>
        <v>1251.1</v>
      </c>
      <c r="E16" s="41">
        <f>K16+N16+Q16</f>
        <v>878.9000000000001</v>
      </c>
      <c r="F16" s="92">
        <f>E16/D16*100</f>
        <v>70.25017984173928</v>
      </c>
      <c r="G16" s="18">
        <v>2131.2</v>
      </c>
      <c r="H16" s="18">
        <v>2399.4</v>
      </c>
      <c r="I16" s="18">
        <f t="shared" si="1"/>
        <v>112.58445945945948</v>
      </c>
      <c r="J16" s="18">
        <v>308.9</v>
      </c>
      <c r="K16" s="18">
        <v>115.8</v>
      </c>
      <c r="L16" s="18">
        <f t="shared" si="3"/>
        <v>37.48786014891551</v>
      </c>
      <c r="M16" s="18">
        <v>352.5</v>
      </c>
      <c r="N16" s="18">
        <v>279.5</v>
      </c>
      <c r="O16" s="18">
        <f>N16/M16*100</f>
        <v>79.29078014184398</v>
      </c>
      <c r="P16" s="18">
        <v>589.7</v>
      </c>
      <c r="Q16" s="18">
        <v>483.6</v>
      </c>
      <c r="R16" s="18">
        <f>Q16/P16*100</f>
        <v>82.00780057656435</v>
      </c>
      <c r="S16" s="68">
        <f t="shared" si="4"/>
        <v>372.1999999999998</v>
      </c>
      <c r="T16" s="68">
        <f t="shared" si="6"/>
        <v>-268.2000000000003</v>
      </c>
      <c r="U16" s="16">
        <f t="shared" si="2"/>
        <v>541.0999999999999</v>
      </c>
    </row>
    <row r="17" spans="1:21" ht="24" customHeight="1">
      <c r="A17" s="120">
        <v>9</v>
      </c>
      <c r="B17" s="23" t="s">
        <v>61</v>
      </c>
      <c r="C17" s="41"/>
      <c r="D17" s="34">
        <f t="shared" si="5"/>
        <v>0</v>
      </c>
      <c r="E17" s="34">
        <f>K17</f>
        <v>0</v>
      </c>
      <c r="F17" s="26">
        <f>E13/D13*100</f>
        <v>55.33956386292835</v>
      </c>
      <c r="G17" s="26"/>
      <c r="H17" s="26"/>
      <c r="I17" s="35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26"/>
      <c r="P17" s="26"/>
      <c r="Q17" s="26"/>
      <c r="R17" s="26"/>
      <c r="S17" s="104">
        <f t="shared" si="4"/>
        <v>0</v>
      </c>
      <c r="T17" s="68"/>
      <c r="U17" s="80">
        <f t="shared" si="2"/>
        <v>0</v>
      </c>
    </row>
    <row r="18" spans="1:21" ht="24" customHeight="1">
      <c r="A18" s="120">
        <v>10</v>
      </c>
      <c r="B18" s="25" t="s">
        <v>62</v>
      </c>
      <c r="C18" s="41">
        <v>3926.2</v>
      </c>
      <c r="D18" s="41">
        <f aca="true" t="shared" si="7" ref="D18:E20">J18+M18+P18</f>
        <v>759.6</v>
      </c>
      <c r="E18" s="41">
        <f t="shared" si="7"/>
        <v>511.1</v>
      </c>
      <c r="F18" s="92">
        <f>E18/D18*100</f>
        <v>67.28541337546076</v>
      </c>
      <c r="G18" s="18">
        <v>1705.6</v>
      </c>
      <c r="H18" s="18">
        <v>1517.9</v>
      </c>
      <c r="I18" s="18">
        <f t="shared" si="1"/>
        <v>88.99507504690433</v>
      </c>
      <c r="J18" s="18">
        <v>223</v>
      </c>
      <c r="K18" s="18">
        <v>124.1</v>
      </c>
      <c r="L18" s="18">
        <f t="shared" si="3"/>
        <v>55.65022421524664</v>
      </c>
      <c r="M18" s="18">
        <v>220.8</v>
      </c>
      <c r="N18" s="18">
        <v>186.4</v>
      </c>
      <c r="O18" s="18">
        <f>N18/M18*100</f>
        <v>84.42028985507247</v>
      </c>
      <c r="P18" s="18">
        <v>315.8</v>
      </c>
      <c r="Q18" s="18">
        <v>200.6</v>
      </c>
      <c r="R18" s="18">
        <f>Q18/P18*100</f>
        <v>63.521215959468016</v>
      </c>
      <c r="S18" s="68">
        <f t="shared" si="4"/>
        <v>248.5</v>
      </c>
      <c r="T18" s="68">
        <f t="shared" si="6"/>
        <v>187.69999999999982</v>
      </c>
      <c r="U18" s="16">
        <f t="shared" si="2"/>
        <v>4113.9</v>
      </c>
    </row>
    <row r="19" spans="1:21" ht="24" customHeight="1">
      <c r="A19" s="120">
        <v>11</v>
      </c>
      <c r="B19" s="25" t="s">
        <v>63</v>
      </c>
      <c r="C19" s="41">
        <v>2.9</v>
      </c>
      <c r="D19" s="41">
        <f t="shared" si="7"/>
        <v>6.699999999999999</v>
      </c>
      <c r="E19" s="41">
        <f t="shared" si="7"/>
        <v>7.2</v>
      </c>
      <c r="F19" s="107">
        <f>E19/D19*100</f>
        <v>107.4626865671642</v>
      </c>
      <c r="G19" s="18">
        <v>8.3</v>
      </c>
      <c r="H19" s="18">
        <v>4.5</v>
      </c>
      <c r="I19" s="18">
        <f t="shared" si="1"/>
        <v>54.21686746987952</v>
      </c>
      <c r="J19" s="18">
        <v>2.4</v>
      </c>
      <c r="K19" s="18">
        <v>2.4</v>
      </c>
      <c r="L19" s="18">
        <f t="shared" si="3"/>
        <v>100</v>
      </c>
      <c r="M19" s="18">
        <v>2.2</v>
      </c>
      <c r="N19" s="18">
        <v>2.1</v>
      </c>
      <c r="O19" s="18">
        <f>N19/M19*100</f>
        <v>95.45454545454545</v>
      </c>
      <c r="P19" s="18">
        <v>2.1</v>
      </c>
      <c r="Q19" s="18">
        <v>2.7</v>
      </c>
      <c r="R19" s="18">
        <f>Q19/P19*100</f>
        <v>128.57142857142858</v>
      </c>
      <c r="S19" s="68">
        <f t="shared" si="4"/>
        <v>-0.5000000000000009</v>
      </c>
      <c r="T19" s="68">
        <f t="shared" si="6"/>
        <v>3.8000000000000007</v>
      </c>
      <c r="U19" s="16">
        <f t="shared" si="2"/>
        <v>6.700000000000001</v>
      </c>
    </row>
    <row r="20" spans="1:21" ht="24" customHeight="1">
      <c r="A20" s="120">
        <v>12</v>
      </c>
      <c r="B20" s="23" t="s">
        <v>90</v>
      </c>
      <c r="C20" s="41">
        <v>1747.8</v>
      </c>
      <c r="D20" s="41">
        <f t="shared" si="7"/>
        <v>402.6</v>
      </c>
      <c r="E20" s="41">
        <f t="shared" si="7"/>
        <v>449.3</v>
      </c>
      <c r="F20" s="26">
        <f>E20/D20*100</f>
        <v>111.59960258320913</v>
      </c>
      <c r="G20" s="18">
        <v>1731.8</v>
      </c>
      <c r="H20" s="18">
        <v>1722.9</v>
      </c>
      <c r="I20" s="18">
        <f t="shared" si="1"/>
        <v>99.48608384339994</v>
      </c>
      <c r="J20" s="18">
        <v>132</v>
      </c>
      <c r="K20" s="18">
        <v>158.6</v>
      </c>
      <c r="L20" s="18">
        <f t="shared" si="3"/>
        <v>120.15151515151514</v>
      </c>
      <c r="M20" s="18">
        <v>121.9</v>
      </c>
      <c r="N20" s="18">
        <v>150.5</v>
      </c>
      <c r="O20" s="18">
        <f>N20/M20*100</f>
        <v>123.46185397867104</v>
      </c>
      <c r="P20" s="18">
        <v>148.7</v>
      </c>
      <c r="Q20" s="18">
        <v>140.2</v>
      </c>
      <c r="R20" s="18">
        <f>Q20/P20*100</f>
        <v>94.28379287155346</v>
      </c>
      <c r="S20" s="68">
        <f t="shared" si="4"/>
        <v>-46.69999999999999</v>
      </c>
      <c r="T20" s="68">
        <f t="shared" si="6"/>
        <v>8.899999999999864</v>
      </c>
      <c r="U20" s="16">
        <f t="shared" si="2"/>
        <v>1756.6999999999998</v>
      </c>
    </row>
    <row r="21" spans="1:21" ht="24" customHeight="1">
      <c r="A21" s="120">
        <v>13</v>
      </c>
      <c r="B21" s="25" t="s">
        <v>64</v>
      </c>
      <c r="C21" s="41">
        <v>0.1</v>
      </c>
      <c r="D21" s="34">
        <f t="shared" si="5"/>
        <v>0</v>
      </c>
      <c r="E21" s="34">
        <f>K21</f>
        <v>0</v>
      </c>
      <c r="F21" s="26" t="e">
        <f>E17/D17*100</f>
        <v>#DIV/0!</v>
      </c>
      <c r="G21" s="26"/>
      <c r="H21" s="26"/>
      <c r="I21" s="35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26"/>
      <c r="S21" s="104">
        <f t="shared" si="4"/>
        <v>0</v>
      </c>
      <c r="T21" s="68"/>
      <c r="U21" s="16">
        <f t="shared" si="2"/>
        <v>0.1</v>
      </c>
    </row>
    <row r="22" spans="1:21" ht="24" customHeight="1">
      <c r="A22" s="120">
        <v>14</v>
      </c>
      <c r="B22" s="25" t="s">
        <v>65</v>
      </c>
      <c r="C22" s="41">
        <v>3.1</v>
      </c>
      <c r="D22" s="34">
        <f t="shared" si="5"/>
        <v>0</v>
      </c>
      <c r="E22" s="34">
        <f>K22</f>
        <v>0</v>
      </c>
      <c r="F22" s="26">
        <f>E18/D18*100</f>
        <v>67.28541337546076</v>
      </c>
      <c r="G22" s="26"/>
      <c r="H22" s="26"/>
      <c r="I22" s="35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26"/>
      <c r="S22" s="68">
        <f t="shared" si="4"/>
        <v>0</v>
      </c>
      <c r="T22" s="68"/>
      <c r="U22" s="16">
        <f t="shared" si="2"/>
        <v>3.1</v>
      </c>
    </row>
    <row r="23" spans="1:21" ht="36.75" customHeight="1">
      <c r="A23" s="120">
        <v>15</v>
      </c>
      <c r="B23" s="25" t="s">
        <v>66</v>
      </c>
      <c r="C23" s="41"/>
      <c r="D23" s="34">
        <f t="shared" si="5"/>
        <v>0</v>
      </c>
      <c r="E23" s="34">
        <f>K23</f>
        <v>0</v>
      </c>
      <c r="F23" s="26"/>
      <c r="G23" s="26"/>
      <c r="H23" s="26"/>
      <c r="I23" s="35" t="e">
        <f t="shared" si="1"/>
        <v>#DIV/0!</v>
      </c>
      <c r="J23" s="26"/>
      <c r="K23" s="26"/>
      <c r="L23" s="26" t="e">
        <f>K23/J23*100</f>
        <v>#DIV/0!</v>
      </c>
      <c r="M23" s="26"/>
      <c r="N23" s="26"/>
      <c r="O23" s="26"/>
      <c r="P23" s="26"/>
      <c r="Q23" s="26"/>
      <c r="R23" s="26"/>
      <c r="S23" s="104">
        <f>D23-E23</f>
        <v>0</v>
      </c>
      <c r="T23" s="104">
        <f>E23-F23</f>
        <v>0</v>
      </c>
      <c r="U23" s="16"/>
    </row>
    <row r="24" spans="1:21" ht="24" customHeight="1">
      <c r="A24" s="120">
        <v>16</v>
      </c>
      <c r="B24" s="25" t="s">
        <v>67</v>
      </c>
      <c r="C24" s="41"/>
      <c r="D24" s="222" t="s">
        <v>102</v>
      </c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4"/>
    </row>
    <row r="25" spans="1:21" ht="36.75" customHeight="1">
      <c r="A25" s="120">
        <v>17</v>
      </c>
      <c r="B25" s="25" t="s">
        <v>68</v>
      </c>
      <c r="C25" s="41">
        <v>3737</v>
      </c>
      <c r="D25" s="41">
        <f>J25+M25+P25</f>
        <v>3966.7000000000003</v>
      </c>
      <c r="E25" s="41">
        <f>K25+N25+Q25</f>
        <v>2297.3999999999996</v>
      </c>
      <c r="F25" s="92">
        <f>E25/D25*100</f>
        <v>57.91716035999697</v>
      </c>
      <c r="G25" s="18">
        <v>4621.3</v>
      </c>
      <c r="H25" s="18">
        <v>6384.7</v>
      </c>
      <c r="I25" s="18">
        <f t="shared" si="1"/>
        <v>138.1580940428018</v>
      </c>
      <c r="J25" s="18">
        <v>1315.1</v>
      </c>
      <c r="K25" s="18">
        <v>478.5</v>
      </c>
      <c r="L25" s="18">
        <f>K25/J25*100</f>
        <v>36.38506577446582</v>
      </c>
      <c r="M25" s="18">
        <v>1187.7</v>
      </c>
      <c r="N25" s="18">
        <v>782.8</v>
      </c>
      <c r="O25" s="18">
        <f>N25/M25*100</f>
        <v>65.90889955375935</v>
      </c>
      <c r="P25" s="18">
        <v>1463.9</v>
      </c>
      <c r="Q25" s="18">
        <v>1036.1</v>
      </c>
      <c r="R25" s="18">
        <f>Q25/P25*100</f>
        <v>70.77669239702165</v>
      </c>
      <c r="S25" s="68">
        <f>D25-E25</f>
        <v>1669.3000000000006</v>
      </c>
      <c r="T25" s="68">
        <f>G25-H25</f>
        <v>-1763.3999999999996</v>
      </c>
      <c r="U25" s="16">
        <f>C25+G25-H25</f>
        <v>1973.5999999999995</v>
      </c>
    </row>
    <row r="26" spans="1:21" ht="24" customHeight="1">
      <c r="A26" s="120">
        <v>18</v>
      </c>
      <c r="B26" s="23" t="s">
        <v>69</v>
      </c>
      <c r="C26" s="41"/>
      <c r="D26" s="34">
        <f>J26</f>
        <v>0</v>
      </c>
      <c r="E26" s="34">
        <f>K26</f>
        <v>0</v>
      </c>
      <c r="F26" s="26" t="e">
        <f>E22/D22*100</f>
        <v>#DIV/0!</v>
      </c>
      <c r="G26" s="26"/>
      <c r="H26" s="26"/>
      <c r="I26" s="26" t="e">
        <f t="shared" si="1"/>
        <v>#DIV/0!</v>
      </c>
      <c r="J26" s="26"/>
      <c r="K26" s="26"/>
      <c r="L26" s="26" t="e">
        <f>K26/J26*100</f>
        <v>#DIV/0!</v>
      </c>
      <c r="M26" s="26"/>
      <c r="N26" s="26"/>
      <c r="O26" s="26"/>
      <c r="P26" s="26"/>
      <c r="Q26" s="26"/>
      <c r="R26" s="26"/>
      <c r="S26" s="104">
        <f>D26-E26</f>
        <v>0</v>
      </c>
      <c r="T26" s="104" t="e">
        <f>E26-F26</f>
        <v>#DIV/0!</v>
      </c>
      <c r="U26" s="80">
        <f>C26+G26-H26</f>
        <v>0</v>
      </c>
    </row>
    <row r="27" spans="1:21" ht="24" customHeight="1">
      <c r="A27" s="120">
        <v>19</v>
      </c>
      <c r="B27" s="25" t="s">
        <v>70</v>
      </c>
      <c r="C27" s="41">
        <v>1342.5</v>
      </c>
      <c r="D27" s="41">
        <f>J27+M27+P27</f>
        <v>220.7</v>
      </c>
      <c r="E27" s="41">
        <f>K27+N27+Q27</f>
        <v>145.3</v>
      </c>
      <c r="F27" s="92">
        <f>E27/D27*100</f>
        <v>65.83597643860445</v>
      </c>
      <c r="G27" s="18">
        <v>542.4</v>
      </c>
      <c r="H27" s="18">
        <v>501.3</v>
      </c>
      <c r="I27" s="18">
        <f t="shared" si="1"/>
        <v>92.42256637168143</v>
      </c>
      <c r="J27" s="18">
        <v>76</v>
      </c>
      <c r="K27" s="18">
        <v>29</v>
      </c>
      <c r="L27" s="18">
        <f>K27/J27*100</f>
        <v>38.15789473684211</v>
      </c>
      <c r="M27" s="18">
        <v>73.1</v>
      </c>
      <c r="N27" s="18">
        <v>54.4</v>
      </c>
      <c r="O27" s="18">
        <f>N27/M27*100</f>
        <v>74.4186046511628</v>
      </c>
      <c r="P27" s="18">
        <v>71.6</v>
      </c>
      <c r="Q27" s="18">
        <v>61.9</v>
      </c>
      <c r="R27" s="18">
        <f>Q27/P27*100</f>
        <v>86.45251396648045</v>
      </c>
      <c r="S27" s="68">
        <f>D27-E27</f>
        <v>75.39999999999998</v>
      </c>
      <c r="T27" s="68">
        <f>G27-H27</f>
        <v>41.099999999999966</v>
      </c>
      <c r="U27" s="16">
        <f>C27+G27-H27</f>
        <v>1383.6000000000001</v>
      </c>
    </row>
    <row r="28" spans="1:21" ht="36.75" customHeight="1">
      <c r="A28" s="120">
        <v>20</v>
      </c>
      <c r="B28" s="25" t="s">
        <v>105</v>
      </c>
      <c r="C28" s="41">
        <v>539.1</v>
      </c>
      <c r="D28" s="41">
        <f>J28+M28+P28</f>
        <v>815</v>
      </c>
      <c r="E28" s="41">
        <f>K28+N28+Q28</f>
        <v>813.4000000000001</v>
      </c>
      <c r="F28" s="92">
        <f>E28/D28*100</f>
        <v>99.8036809815951</v>
      </c>
      <c r="G28" s="18">
        <v>1557.3</v>
      </c>
      <c r="H28" s="18">
        <v>1906.2</v>
      </c>
      <c r="I28" s="18">
        <f t="shared" si="1"/>
        <v>122.40416104796765</v>
      </c>
      <c r="J28" s="18">
        <v>192.4</v>
      </c>
      <c r="K28" s="18">
        <v>192.8</v>
      </c>
      <c r="L28" s="18">
        <f>K28/J28*100</f>
        <v>100.2079002079002</v>
      </c>
      <c r="M28" s="18">
        <v>285.3</v>
      </c>
      <c r="N28" s="18">
        <v>285.3</v>
      </c>
      <c r="O28" s="18">
        <f>N28/M28*100</f>
        <v>100</v>
      </c>
      <c r="P28" s="18">
        <v>337.3</v>
      </c>
      <c r="Q28" s="18">
        <v>335.3</v>
      </c>
      <c r="R28" s="18">
        <f>Q28/P28*100</f>
        <v>99.40705603320487</v>
      </c>
      <c r="S28" s="68">
        <f>D28-E28</f>
        <v>1.599999999999909</v>
      </c>
      <c r="T28" s="68">
        <f>G28-H28</f>
        <v>-348.9000000000001</v>
      </c>
      <c r="U28" s="16">
        <f>C28+G28-H28</f>
        <v>190.20000000000005</v>
      </c>
    </row>
    <row r="29" spans="1:21" ht="36.75" customHeight="1">
      <c r="A29" s="120">
        <v>21</v>
      </c>
      <c r="B29" s="23" t="s">
        <v>71</v>
      </c>
      <c r="C29" s="128"/>
      <c r="D29" s="34">
        <f>J29</f>
        <v>0</v>
      </c>
      <c r="E29" s="34">
        <f>K29</f>
        <v>0</v>
      </c>
      <c r="F29" s="26" t="e">
        <f>E29/D29*100</f>
        <v>#DIV/0!</v>
      </c>
      <c r="G29" s="129"/>
      <c r="H29" s="129"/>
      <c r="I29" s="18"/>
      <c r="J29" s="26"/>
      <c r="K29" s="26"/>
      <c r="L29" s="26" t="e">
        <f>K29/J29*100</f>
        <v>#DIV/0!</v>
      </c>
      <c r="M29" s="26"/>
      <c r="N29" s="26"/>
      <c r="O29" s="26"/>
      <c r="P29" s="26"/>
      <c r="Q29" s="26"/>
      <c r="R29" s="26"/>
      <c r="S29" s="104">
        <f>D29-E29</f>
        <v>0</v>
      </c>
      <c r="T29" s="68"/>
      <c r="U29" s="16"/>
    </row>
    <row r="30" spans="1:21" ht="24" customHeight="1">
      <c r="A30" s="120">
        <v>22</v>
      </c>
      <c r="B30" s="23" t="s">
        <v>72</v>
      </c>
      <c r="C30" s="71"/>
      <c r="D30" s="225" t="s">
        <v>102</v>
      </c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6"/>
    </row>
    <row r="31" spans="1:21" ht="24" customHeight="1">
      <c r="A31" s="120">
        <v>23</v>
      </c>
      <c r="B31" s="25" t="s">
        <v>73</v>
      </c>
      <c r="C31" s="72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8"/>
    </row>
    <row r="32" spans="1:21" ht="24" customHeight="1">
      <c r="A32" s="120">
        <v>24</v>
      </c>
      <c r="B32" s="25" t="s">
        <v>74</v>
      </c>
      <c r="C32" s="73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30"/>
    </row>
    <row r="33" spans="1:21" ht="24" customHeight="1">
      <c r="A33" s="120">
        <v>25</v>
      </c>
      <c r="B33" s="25" t="s">
        <v>75</v>
      </c>
      <c r="C33" s="41"/>
      <c r="D33" s="41"/>
      <c r="E33" s="41"/>
      <c r="F33" s="41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86"/>
      <c r="T33" s="86"/>
      <c r="U33" s="24"/>
    </row>
    <row r="34" spans="1:21" ht="24" customHeight="1">
      <c r="A34" s="120"/>
      <c r="B34" s="25" t="s">
        <v>76</v>
      </c>
      <c r="C34" s="41">
        <v>17993.6</v>
      </c>
      <c r="D34" s="41">
        <f>J34+M34+P34</f>
        <v>4284.4</v>
      </c>
      <c r="E34" s="41">
        <f>K34+N34+Q34</f>
        <v>3942.7</v>
      </c>
      <c r="F34" s="92">
        <f>E34/D34*100</f>
        <v>92.0245541966203</v>
      </c>
      <c r="G34" s="18">
        <v>9031.2</v>
      </c>
      <c r="H34" s="18">
        <v>9721.9</v>
      </c>
      <c r="I34" s="18">
        <f>H34/G34*100</f>
        <v>107.6479316148463</v>
      </c>
      <c r="J34" s="18">
        <v>1539.9</v>
      </c>
      <c r="K34" s="18">
        <v>1198.7</v>
      </c>
      <c r="L34" s="18">
        <f aca="true" t="shared" si="8" ref="L34:L47">K34/J34*100</f>
        <v>77.84271705954932</v>
      </c>
      <c r="M34" s="18">
        <v>1379.3</v>
      </c>
      <c r="N34" s="18">
        <v>1338.3</v>
      </c>
      <c r="O34" s="18">
        <f>N34/M34*100</f>
        <v>97.0274777060828</v>
      </c>
      <c r="P34" s="18">
        <v>1365.2</v>
      </c>
      <c r="Q34" s="18">
        <v>1405.7</v>
      </c>
      <c r="R34" s="18">
        <f>Q34/P34*100</f>
        <v>102.9665983006153</v>
      </c>
      <c r="S34" s="68">
        <f aca="true" t="shared" si="9" ref="S34:T47">D34-E34</f>
        <v>341.6999999999998</v>
      </c>
      <c r="T34" s="68">
        <f>G34-H34</f>
        <v>-690.6999999999989</v>
      </c>
      <c r="U34" s="16">
        <f aca="true" t="shared" si="10" ref="U34:U47">C34+G34-H34</f>
        <v>17302.9</v>
      </c>
    </row>
    <row r="35" spans="1:21" ht="24.75" customHeight="1">
      <c r="A35" s="121"/>
      <c r="B35" s="25" t="s">
        <v>77</v>
      </c>
      <c r="C35" s="41">
        <v>84.4</v>
      </c>
      <c r="D35" s="34">
        <f>J35</f>
        <v>0</v>
      </c>
      <c r="E35" s="34">
        <f>K35</f>
        <v>0</v>
      </c>
      <c r="F35" s="26" t="e">
        <f>E31/D31*100</f>
        <v>#DIV/0!</v>
      </c>
      <c r="G35" s="18">
        <v>0</v>
      </c>
      <c r="H35" s="18">
        <v>0</v>
      </c>
      <c r="I35" s="18"/>
      <c r="J35" s="18"/>
      <c r="K35" s="18"/>
      <c r="L35" s="26" t="e">
        <f t="shared" si="8"/>
        <v>#DIV/0!</v>
      </c>
      <c r="M35" s="26"/>
      <c r="N35" s="26"/>
      <c r="O35" s="26"/>
      <c r="P35" s="26"/>
      <c r="Q35" s="26"/>
      <c r="R35" s="26"/>
      <c r="S35" s="104">
        <f t="shared" si="9"/>
        <v>0</v>
      </c>
      <c r="T35" s="104" t="e">
        <f t="shared" si="9"/>
        <v>#DIV/0!</v>
      </c>
      <c r="U35" s="16">
        <f t="shared" si="10"/>
        <v>84.4</v>
      </c>
    </row>
    <row r="36" spans="1:21" ht="35.25" customHeight="1">
      <c r="A36" s="120">
        <v>26</v>
      </c>
      <c r="B36" s="25" t="s">
        <v>106</v>
      </c>
      <c r="C36" s="41">
        <v>3243.6</v>
      </c>
      <c r="D36" s="41">
        <f aca="true" t="shared" si="11" ref="D36:E46">J36+M36+P36</f>
        <v>1775.6</v>
      </c>
      <c r="E36" s="41">
        <f t="shared" si="11"/>
        <v>987.2</v>
      </c>
      <c r="F36" s="92">
        <f>E36/D36*100</f>
        <v>55.59810768191035</v>
      </c>
      <c r="G36" s="18">
        <v>5031.5</v>
      </c>
      <c r="H36" s="18">
        <v>4089</v>
      </c>
      <c r="I36" s="18">
        <f aca="true" t="shared" si="12" ref="I36:I48">H36/G36*100</f>
        <v>81.26801152737752</v>
      </c>
      <c r="J36" s="18">
        <v>473.9</v>
      </c>
      <c r="K36" s="18">
        <v>230.9</v>
      </c>
      <c r="L36" s="18">
        <f t="shared" si="8"/>
        <v>48.72335935851446</v>
      </c>
      <c r="M36" s="18">
        <v>601.3</v>
      </c>
      <c r="N36" s="18">
        <v>327.7</v>
      </c>
      <c r="O36" s="18">
        <f aca="true" t="shared" si="13" ref="O36:O43">N36/M36*100</f>
        <v>54.49858639614169</v>
      </c>
      <c r="P36" s="18">
        <v>700.4</v>
      </c>
      <c r="Q36" s="18">
        <v>428.6</v>
      </c>
      <c r="R36" s="18">
        <f aca="true" t="shared" si="14" ref="R36:R43">Q36/P36*100</f>
        <v>61.19360365505426</v>
      </c>
      <c r="S36" s="68">
        <f t="shared" si="9"/>
        <v>788.3999999999999</v>
      </c>
      <c r="T36" s="68">
        <f aca="true" t="shared" si="15" ref="T36:T43">G36-H36</f>
        <v>942.5</v>
      </c>
      <c r="U36" s="16">
        <f t="shared" si="10"/>
        <v>4186.1</v>
      </c>
    </row>
    <row r="37" spans="1:21" ht="24" customHeight="1">
      <c r="A37" s="120">
        <v>27</v>
      </c>
      <c r="B37" s="23" t="s">
        <v>78</v>
      </c>
      <c r="C37" s="41">
        <v>53.1</v>
      </c>
      <c r="D37" s="41">
        <f t="shared" si="11"/>
        <v>0.8</v>
      </c>
      <c r="E37" s="41">
        <f t="shared" si="11"/>
        <v>0.8</v>
      </c>
      <c r="F37" s="92">
        <f aca="true" t="shared" si="16" ref="F37:F44">E37/D37*100</f>
        <v>100</v>
      </c>
      <c r="G37" s="18">
        <v>2.7</v>
      </c>
      <c r="H37" s="18">
        <v>0.9</v>
      </c>
      <c r="I37" s="18">
        <f t="shared" si="12"/>
        <v>33.33333333333333</v>
      </c>
      <c r="J37" s="18">
        <v>0.6</v>
      </c>
      <c r="K37" s="18">
        <v>0.2</v>
      </c>
      <c r="L37" s="18">
        <f t="shared" si="8"/>
        <v>33.333333333333336</v>
      </c>
      <c r="M37" s="18">
        <v>-0.1</v>
      </c>
      <c r="N37" s="18">
        <v>0.2</v>
      </c>
      <c r="O37" s="18">
        <f t="shared" si="13"/>
        <v>-200</v>
      </c>
      <c r="P37" s="18">
        <v>0.3</v>
      </c>
      <c r="Q37" s="18">
        <v>0.4</v>
      </c>
      <c r="R37" s="18">
        <f t="shared" si="14"/>
        <v>133.33333333333334</v>
      </c>
      <c r="S37" s="68">
        <f t="shared" si="9"/>
        <v>0</v>
      </c>
      <c r="T37" s="68">
        <f t="shared" si="15"/>
        <v>1.8000000000000003</v>
      </c>
      <c r="U37" s="16">
        <f t="shared" si="10"/>
        <v>54.900000000000006</v>
      </c>
    </row>
    <row r="38" spans="1:21" ht="24" customHeight="1">
      <c r="A38" s="120">
        <v>28</v>
      </c>
      <c r="B38" s="25" t="s">
        <v>79</v>
      </c>
      <c r="C38" s="41">
        <f>9351.5-3.1</f>
        <v>9348.4</v>
      </c>
      <c r="D38" s="41">
        <f t="shared" si="11"/>
        <v>4574.4</v>
      </c>
      <c r="E38" s="41">
        <f t="shared" si="11"/>
        <v>2942.7</v>
      </c>
      <c r="F38" s="92">
        <f t="shared" si="16"/>
        <v>64.3297481636936</v>
      </c>
      <c r="G38" s="18">
        <v>9522.5</v>
      </c>
      <c r="H38" s="18">
        <v>10319.2</v>
      </c>
      <c r="I38" s="18">
        <f t="shared" si="12"/>
        <v>108.36650039380416</v>
      </c>
      <c r="J38" s="18">
        <v>1542.3</v>
      </c>
      <c r="K38" s="18">
        <v>370.8</v>
      </c>
      <c r="L38" s="18">
        <f t="shared" si="8"/>
        <v>24.042015172145497</v>
      </c>
      <c r="M38" s="18">
        <v>1508</v>
      </c>
      <c r="N38" s="18">
        <v>1189.7</v>
      </c>
      <c r="O38" s="18">
        <f t="shared" si="13"/>
        <v>78.89257294429709</v>
      </c>
      <c r="P38" s="18">
        <v>1524.1</v>
      </c>
      <c r="Q38" s="18">
        <v>1382.2</v>
      </c>
      <c r="R38" s="18">
        <f t="shared" si="14"/>
        <v>90.68958729742144</v>
      </c>
      <c r="S38" s="68">
        <f t="shared" si="9"/>
        <v>1631.6999999999998</v>
      </c>
      <c r="T38" s="68">
        <f t="shared" si="15"/>
        <v>-796.7000000000007</v>
      </c>
      <c r="U38" s="16">
        <f t="shared" si="10"/>
        <v>8551.7</v>
      </c>
    </row>
    <row r="39" spans="1:21" ht="24" customHeight="1">
      <c r="A39" s="120">
        <v>29</v>
      </c>
      <c r="B39" s="25" t="s">
        <v>80</v>
      </c>
      <c r="C39" s="41">
        <v>19574.1</v>
      </c>
      <c r="D39" s="41">
        <f t="shared" si="11"/>
        <v>5171.1</v>
      </c>
      <c r="E39" s="41">
        <f t="shared" si="11"/>
        <v>2609.3</v>
      </c>
      <c r="F39" s="92">
        <f t="shared" si="16"/>
        <v>50.45928332463112</v>
      </c>
      <c r="G39" s="18">
        <v>6802.5</v>
      </c>
      <c r="H39" s="18">
        <v>9972</v>
      </c>
      <c r="I39" s="18">
        <f t="shared" si="12"/>
        <v>146.59316427783904</v>
      </c>
      <c r="J39" s="18">
        <v>1441.4</v>
      </c>
      <c r="K39" s="18">
        <v>366</v>
      </c>
      <c r="L39" s="18">
        <f t="shared" si="8"/>
        <v>25.39198001942556</v>
      </c>
      <c r="M39" s="18">
        <v>1572</v>
      </c>
      <c r="N39" s="18">
        <v>978.1</v>
      </c>
      <c r="O39" s="18">
        <f t="shared" si="13"/>
        <v>62.22010178117049</v>
      </c>
      <c r="P39" s="18">
        <v>2157.7</v>
      </c>
      <c r="Q39" s="18">
        <v>1265.2</v>
      </c>
      <c r="R39" s="18">
        <f t="shared" si="14"/>
        <v>58.63651109978218</v>
      </c>
      <c r="S39" s="68">
        <f t="shared" si="9"/>
        <v>2561.8</v>
      </c>
      <c r="T39" s="68">
        <f t="shared" si="15"/>
        <v>-3169.5</v>
      </c>
      <c r="U39" s="16">
        <f t="shared" si="10"/>
        <v>16404.6</v>
      </c>
    </row>
    <row r="40" spans="1:21" ht="36.75" customHeight="1">
      <c r="A40" s="120">
        <v>30</v>
      </c>
      <c r="B40" s="25" t="s">
        <v>107</v>
      </c>
      <c r="C40" s="41">
        <f>18371.6+27785.3</f>
        <v>46156.899999999994</v>
      </c>
      <c r="D40" s="41">
        <f t="shared" si="11"/>
        <v>12799</v>
      </c>
      <c r="E40" s="41">
        <f t="shared" si="11"/>
        <v>9204.599999999999</v>
      </c>
      <c r="F40" s="92">
        <f t="shared" si="16"/>
        <v>71.91655598093601</v>
      </c>
      <c r="G40" s="18">
        <v>26290</v>
      </c>
      <c r="H40" s="18">
        <v>31663</v>
      </c>
      <c r="I40" s="18">
        <f t="shared" si="12"/>
        <v>120.43742868010649</v>
      </c>
      <c r="J40" s="18">
        <v>4081.5</v>
      </c>
      <c r="K40" s="18">
        <v>1993</v>
      </c>
      <c r="L40" s="18">
        <f t="shared" si="8"/>
        <v>48.83008697782678</v>
      </c>
      <c r="M40" s="18">
        <v>4125.7</v>
      </c>
      <c r="N40" s="18">
        <v>3080.4</v>
      </c>
      <c r="O40" s="18">
        <f t="shared" si="13"/>
        <v>74.66369343384154</v>
      </c>
      <c r="P40" s="18">
        <v>4591.8</v>
      </c>
      <c r="Q40" s="18">
        <v>4131.2</v>
      </c>
      <c r="R40" s="18">
        <f t="shared" si="14"/>
        <v>89.96907530815801</v>
      </c>
      <c r="S40" s="68">
        <f t="shared" si="9"/>
        <v>3594.4000000000015</v>
      </c>
      <c r="T40" s="68">
        <f t="shared" si="15"/>
        <v>-5373</v>
      </c>
      <c r="U40" s="16">
        <f t="shared" si="10"/>
        <v>40783.899999999994</v>
      </c>
    </row>
    <row r="41" spans="1:21" ht="24" customHeight="1">
      <c r="A41" s="120">
        <v>31</v>
      </c>
      <c r="B41" s="25" t="s">
        <v>81</v>
      </c>
      <c r="C41" s="41">
        <v>263</v>
      </c>
      <c r="D41" s="41">
        <f t="shared" si="11"/>
        <v>98.1</v>
      </c>
      <c r="E41" s="41">
        <f t="shared" si="11"/>
        <v>34.8</v>
      </c>
      <c r="F41" s="92">
        <f t="shared" si="16"/>
        <v>35.47400611620795</v>
      </c>
      <c r="G41" s="18">
        <v>53.3</v>
      </c>
      <c r="H41" s="18">
        <v>54.4</v>
      </c>
      <c r="I41" s="18">
        <f t="shared" si="12"/>
        <v>102.06378986866793</v>
      </c>
      <c r="J41" s="18">
        <v>28.6</v>
      </c>
      <c r="K41" s="18">
        <v>4.5</v>
      </c>
      <c r="L41" s="18">
        <f t="shared" si="8"/>
        <v>15.734265734265735</v>
      </c>
      <c r="M41" s="18">
        <v>29.2</v>
      </c>
      <c r="N41" s="18">
        <v>12.2</v>
      </c>
      <c r="O41" s="18">
        <f t="shared" si="13"/>
        <v>41.78082191780822</v>
      </c>
      <c r="P41" s="18">
        <v>40.3</v>
      </c>
      <c r="Q41" s="18">
        <v>18.1</v>
      </c>
      <c r="R41" s="18">
        <f t="shared" si="14"/>
        <v>44.913151364764275</v>
      </c>
      <c r="S41" s="68">
        <f>D41-E41</f>
        <v>63.3</v>
      </c>
      <c r="T41" s="68">
        <f t="shared" si="15"/>
        <v>-1.1000000000000014</v>
      </c>
      <c r="U41" s="16">
        <f t="shared" si="10"/>
        <v>261.90000000000003</v>
      </c>
    </row>
    <row r="42" spans="1:21" ht="37.5">
      <c r="A42" s="120">
        <v>32</v>
      </c>
      <c r="B42" s="23" t="s">
        <v>82</v>
      </c>
      <c r="C42" s="41">
        <v>11693.9</v>
      </c>
      <c r="D42" s="41">
        <f t="shared" si="11"/>
        <v>6238.4</v>
      </c>
      <c r="E42" s="41">
        <f t="shared" si="11"/>
        <v>4424.3</v>
      </c>
      <c r="F42" s="92">
        <f t="shared" si="16"/>
        <v>70.92042831495256</v>
      </c>
      <c r="G42" s="18">
        <v>14132.9</v>
      </c>
      <c r="H42" s="18">
        <v>15150.1</v>
      </c>
      <c r="I42" s="18">
        <f t="shared" si="12"/>
        <v>107.19739048602905</v>
      </c>
      <c r="J42" s="18">
        <v>1416</v>
      </c>
      <c r="K42" s="18">
        <v>954.8</v>
      </c>
      <c r="L42" s="18">
        <f t="shared" si="8"/>
        <v>67.42937853107345</v>
      </c>
      <c r="M42" s="18">
        <v>2498.4</v>
      </c>
      <c r="N42" s="18">
        <v>1429.8</v>
      </c>
      <c r="O42" s="18">
        <f t="shared" si="13"/>
        <v>57.228626320845336</v>
      </c>
      <c r="P42" s="18">
        <v>2324</v>
      </c>
      <c r="Q42" s="18">
        <v>2039.7</v>
      </c>
      <c r="R42" s="18">
        <f t="shared" si="14"/>
        <v>87.76678141135973</v>
      </c>
      <c r="S42" s="68">
        <f t="shared" si="9"/>
        <v>1814.0999999999995</v>
      </c>
      <c r="T42" s="68">
        <f t="shared" si="15"/>
        <v>-1017.2000000000007</v>
      </c>
      <c r="U42" s="16">
        <f t="shared" si="10"/>
        <v>10676.699999999999</v>
      </c>
    </row>
    <row r="43" spans="1:21" ht="24" customHeight="1">
      <c r="A43" s="120">
        <v>33</v>
      </c>
      <c r="B43" s="25" t="s">
        <v>83</v>
      </c>
      <c r="C43" s="41">
        <v>5788.4</v>
      </c>
      <c r="D43" s="41">
        <f t="shared" si="11"/>
        <v>3942.6000000000004</v>
      </c>
      <c r="E43" s="41">
        <f t="shared" si="11"/>
        <v>3425.5</v>
      </c>
      <c r="F43" s="92">
        <f t="shared" si="16"/>
        <v>86.8842895551159</v>
      </c>
      <c r="G43" s="18">
        <v>12600.7</v>
      </c>
      <c r="H43" s="18">
        <v>13251.7</v>
      </c>
      <c r="I43" s="18">
        <f t="shared" si="12"/>
        <v>105.16637964557525</v>
      </c>
      <c r="J43" s="18">
        <v>1099.4</v>
      </c>
      <c r="K43" s="18">
        <v>1012.9</v>
      </c>
      <c r="L43" s="18">
        <f t="shared" si="8"/>
        <v>92.13207203929416</v>
      </c>
      <c r="M43" s="18">
        <v>1350.7</v>
      </c>
      <c r="N43" s="18">
        <v>1133.1</v>
      </c>
      <c r="O43" s="18">
        <f t="shared" si="13"/>
        <v>83.88983490042199</v>
      </c>
      <c r="P43" s="18">
        <v>1492.5</v>
      </c>
      <c r="Q43" s="18">
        <v>1279.5</v>
      </c>
      <c r="R43" s="18">
        <f t="shared" si="14"/>
        <v>85.7286432160804</v>
      </c>
      <c r="S43" s="68">
        <f t="shared" si="9"/>
        <v>517.1000000000004</v>
      </c>
      <c r="T43" s="68">
        <f t="shared" si="15"/>
        <v>-651</v>
      </c>
      <c r="U43" s="16">
        <f t="shared" si="10"/>
        <v>5137.399999999998</v>
      </c>
    </row>
    <row r="44" spans="1:23" s="7" customFormat="1" ht="24.75" customHeight="1">
      <c r="A44" s="122">
        <v>34</v>
      </c>
      <c r="B44" s="6" t="s">
        <v>84</v>
      </c>
      <c r="C44" s="42">
        <f>C45+C46</f>
        <v>837950.5</v>
      </c>
      <c r="D44" s="42">
        <f>D45+D46+D47</f>
        <v>408434.4</v>
      </c>
      <c r="E44" s="42">
        <f>E45+E46+E47</f>
        <v>274147.3</v>
      </c>
      <c r="F44" s="40">
        <f t="shared" si="16"/>
        <v>67.12150102929625</v>
      </c>
      <c r="G44" s="16">
        <f>G45+G46</f>
        <v>1143191.3</v>
      </c>
      <c r="H44" s="16">
        <f>H45+H46</f>
        <v>1200829.3</v>
      </c>
      <c r="I44" s="17">
        <f t="shared" si="12"/>
        <v>105.04185082584165</v>
      </c>
      <c r="J44" s="16">
        <f>J45+J46+J47</f>
        <v>120725.1</v>
      </c>
      <c r="K44" s="16">
        <f>K45+K46+K47</f>
        <v>60060.9</v>
      </c>
      <c r="L44" s="17">
        <f>K44/J44*100</f>
        <v>49.750134810408106</v>
      </c>
      <c r="M44" s="16">
        <f>M45+M46+M47</f>
        <v>141467.5</v>
      </c>
      <c r="N44" s="16">
        <f>N45+N46+N47</f>
        <v>95593.9</v>
      </c>
      <c r="O44" s="17">
        <f>N44/M44*100</f>
        <v>67.5730468128722</v>
      </c>
      <c r="P44" s="16">
        <f>P45+P46+P47</f>
        <v>146241.8</v>
      </c>
      <c r="Q44" s="16">
        <f>Q45+Q46+Q47</f>
        <v>118492.5</v>
      </c>
      <c r="R44" s="17">
        <f>Q44/P44*100</f>
        <v>81.02505576381034</v>
      </c>
      <c r="S44" s="105">
        <f>SUM(S45:S47)</f>
        <v>134287.1</v>
      </c>
      <c r="T44" s="59">
        <f>SUMIF(T45:T47,"&gt;0",T45:T47)</f>
        <v>1629</v>
      </c>
      <c r="U44" s="105">
        <f>SUM(U45:U47)</f>
        <v>780312.5</v>
      </c>
      <c r="V44" s="7">
        <v>-288.3</v>
      </c>
      <c r="W44" s="7">
        <v>0</v>
      </c>
    </row>
    <row r="45" spans="1:21" s="7" customFormat="1" ht="24.75" customHeight="1">
      <c r="A45" s="122"/>
      <c r="B45" s="23" t="s">
        <v>85</v>
      </c>
      <c r="C45" s="41">
        <v>828679</v>
      </c>
      <c r="D45" s="41">
        <f t="shared" si="11"/>
        <v>402063</v>
      </c>
      <c r="E45" s="41">
        <f t="shared" si="11"/>
        <v>269811</v>
      </c>
      <c r="F45" s="92">
        <f>E45/D45*100</f>
        <v>67.10664746569567</v>
      </c>
      <c r="G45" s="18">
        <v>1118424</v>
      </c>
      <c r="H45" s="18">
        <f>1135538+42153</f>
        <v>1177691</v>
      </c>
      <c r="I45" s="18">
        <f t="shared" si="12"/>
        <v>105.29915309399655</v>
      </c>
      <c r="J45" s="18">
        <v>118794</v>
      </c>
      <c r="K45" s="18">
        <v>59203</v>
      </c>
      <c r="L45" s="18">
        <f t="shared" si="8"/>
        <v>49.836692088826034</v>
      </c>
      <c r="M45" s="18">
        <v>139302</v>
      </c>
      <c r="N45" s="18">
        <v>94006</v>
      </c>
      <c r="O45" s="18">
        <f>N45/M45*100</f>
        <v>67.48359678970868</v>
      </c>
      <c r="P45" s="18">
        <v>143967</v>
      </c>
      <c r="Q45" s="18">
        <v>116602</v>
      </c>
      <c r="R45" s="18">
        <f>Q45/P45*100</f>
        <v>80.99217181715255</v>
      </c>
      <c r="S45" s="68">
        <f t="shared" si="9"/>
        <v>132252</v>
      </c>
      <c r="T45" s="86">
        <f>G45-H45</f>
        <v>-59267</v>
      </c>
      <c r="U45" s="24">
        <f t="shared" si="10"/>
        <v>769412</v>
      </c>
    </row>
    <row r="46" spans="1:21" s="7" customFormat="1" ht="24.75" customHeight="1">
      <c r="A46" s="122"/>
      <c r="B46" s="23" t="s">
        <v>86</v>
      </c>
      <c r="C46" s="41">
        <v>9271.5</v>
      </c>
      <c r="D46" s="41">
        <f t="shared" si="11"/>
        <v>6371.400000000001</v>
      </c>
      <c r="E46" s="41">
        <f t="shared" si="11"/>
        <v>4336.3</v>
      </c>
      <c r="F46" s="41">
        <f>L46</f>
        <v>44.42545699342344</v>
      </c>
      <c r="G46" s="18">
        <v>24767.3</v>
      </c>
      <c r="H46" s="18">
        <v>23138.3</v>
      </c>
      <c r="I46" s="18">
        <f t="shared" si="12"/>
        <v>93.42277922906412</v>
      </c>
      <c r="J46" s="18">
        <v>1931.1</v>
      </c>
      <c r="K46" s="18">
        <v>857.9</v>
      </c>
      <c r="L46" s="18">
        <f t="shared" si="8"/>
        <v>44.42545699342344</v>
      </c>
      <c r="M46" s="18">
        <v>2165.5</v>
      </c>
      <c r="N46" s="18">
        <v>1587.9</v>
      </c>
      <c r="O46" s="18">
        <f>N46/M46*100</f>
        <v>73.32717617178481</v>
      </c>
      <c r="P46" s="18">
        <v>2274.8</v>
      </c>
      <c r="Q46" s="18">
        <v>1890.5</v>
      </c>
      <c r="R46" s="18">
        <f>Q46/P46*100</f>
        <v>83.10620713908914</v>
      </c>
      <c r="S46" s="68">
        <f t="shared" si="9"/>
        <v>2035.1000000000004</v>
      </c>
      <c r="T46" s="86">
        <f>G46-H46</f>
        <v>1629</v>
      </c>
      <c r="U46" s="24">
        <f t="shared" si="10"/>
        <v>10900.500000000004</v>
      </c>
    </row>
    <row r="47" spans="1:21" s="7" customFormat="1" ht="24.75" customHeight="1">
      <c r="A47" s="122"/>
      <c r="B47" s="23" t="s">
        <v>77</v>
      </c>
      <c r="C47" s="41"/>
      <c r="D47" s="41"/>
      <c r="E47" s="41"/>
      <c r="F47" s="26">
        <f>E43/D43*100</f>
        <v>86.8842895551159</v>
      </c>
      <c r="G47" s="26"/>
      <c r="H47" s="26"/>
      <c r="I47" s="26" t="e">
        <f t="shared" si="12"/>
        <v>#DIV/0!</v>
      </c>
      <c r="J47" s="26"/>
      <c r="K47" s="26"/>
      <c r="L47" s="26" t="e">
        <f t="shared" si="8"/>
        <v>#DIV/0!</v>
      </c>
      <c r="M47" s="26"/>
      <c r="N47" s="26"/>
      <c r="O47" s="26"/>
      <c r="P47" s="26"/>
      <c r="Q47" s="26"/>
      <c r="R47" s="26"/>
      <c r="S47" s="104">
        <f t="shared" si="9"/>
        <v>0</v>
      </c>
      <c r="T47" s="104">
        <f t="shared" si="9"/>
        <v>-86.8842895551159</v>
      </c>
      <c r="U47" s="80">
        <f t="shared" si="10"/>
        <v>0</v>
      </c>
    </row>
    <row r="48" spans="1:23" s="7" customFormat="1" ht="24.75" customHeight="1">
      <c r="A48" s="122"/>
      <c r="B48" s="6" t="s">
        <v>87</v>
      </c>
      <c r="C48" s="42">
        <f>C8+C44</f>
        <v>974541.3</v>
      </c>
      <c r="D48" s="42">
        <f>D8+D44</f>
        <v>460301.7</v>
      </c>
      <c r="E48" s="42">
        <f>E8+E44</f>
        <v>310307.69999999995</v>
      </c>
      <c r="F48" s="40">
        <f>E48/D48*100</f>
        <v>67.4139808738486</v>
      </c>
      <c r="G48" s="16">
        <f>G8+G44</f>
        <v>1251272.8</v>
      </c>
      <c r="H48" s="16">
        <f>H8+H44</f>
        <v>1321773.5</v>
      </c>
      <c r="I48" s="17">
        <f t="shared" si="12"/>
        <v>105.63431891111195</v>
      </c>
      <c r="J48" s="16">
        <f>J8+J44</f>
        <v>136294.6</v>
      </c>
      <c r="K48" s="16">
        <f>K8+K44</f>
        <v>67733.4</v>
      </c>
      <c r="L48" s="17">
        <f>K48/J48*100</f>
        <v>49.696319590064455</v>
      </c>
      <c r="M48" s="16">
        <f>M8+M44</f>
        <v>158518.4</v>
      </c>
      <c r="N48" s="16">
        <f>N8+N44</f>
        <v>108235.7</v>
      </c>
      <c r="O48" s="17">
        <f>N48/M48*100</f>
        <v>68.27958142398612</v>
      </c>
      <c r="P48" s="16">
        <f>P8+P44</f>
        <v>165488.69999999998</v>
      </c>
      <c r="Q48" s="16">
        <f>Q8+Q44</f>
        <v>134338.6</v>
      </c>
      <c r="R48" s="17">
        <f>Q48/P48*100</f>
        <v>81.17690210872405</v>
      </c>
      <c r="S48" s="108">
        <f>S44+S8</f>
        <v>150055.30000000002</v>
      </c>
      <c r="T48" s="108">
        <f>T44+T8</f>
        <v>3307.5999999999985</v>
      </c>
      <c r="U48" s="59">
        <f>U8+U44</f>
        <v>904040.6</v>
      </c>
      <c r="V48" s="111">
        <f>V8+V44</f>
        <v>-14829.6</v>
      </c>
      <c r="W48" s="111">
        <f>W8+W44</f>
        <v>0</v>
      </c>
    </row>
    <row r="49" spans="1:21" s="7" customFormat="1" ht="24.75" customHeight="1">
      <c r="A49" s="100"/>
      <c r="B49" s="56"/>
      <c r="C49" s="57"/>
      <c r="D49" s="57"/>
      <c r="E49" s="57"/>
      <c r="F49" s="57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24"/>
    </row>
    <row r="50" spans="1:21" s="7" customFormat="1" ht="15.75" customHeight="1" hidden="1">
      <c r="A50" s="122"/>
      <c r="B50" s="7" t="s">
        <v>92</v>
      </c>
      <c r="C50" s="57"/>
      <c r="D50" s="57"/>
      <c r="E50" s="57"/>
      <c r="F50" s="57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30"/>
    </row>
    <row r="51" spans="1:21" s="7" customFormat="1" ht="6" customHeight="1" hidden="1">
      <c r="A51" s="100"/>
      <c r="C51" s="57"/>
      <c r="D51" s="57"/>
      <c r="E51" s="57"/>
      <c r="F51" s="57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30"/>
    </row>
    <row r="52" spans="1:21" s="7" customFormat="1" ht="18" customHeight="1" hidden="1">
      <c r="A52" s="122"/>
      <c r="B52" s="7" t="s">
        <v>93</v>
      </c>
      <c r="C52" s="57"/>
      <c r="D52" s="57"/>
      <c r="E52" s="57"/>
      <c r="F52" s="57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30"/>
    </row>
    <row r="53" spans="1:28" ht="73.5" customHeight="1" hidden="1">
      <c r="A53" s="181" t="s">
        <v>116</v>
      </c>
      <c r="B53" s="181"/>
      <c r="C53" s="181"/>
      <c r="D53" s="181"/>
      <c r="E53" s="110"/>
      <c r="F53" s="110"/>
      <c r="G53" s="110"/>
      <c r="H53" s="110"/>
      <c r="I53" s="9"/>
      <c r="J53" s="9"/>
      <c r="K53" s="9"/>
      <c r="L53" s="9"/>
      <c r="M53" s="9"/>
      <c r="N53" s="9"/>
      <c r="O53" s="9"/>
      <c r="P53" s="9"/>
      <c r="Q53" s="9"/>
      <c r="R53" s="9"/>
      <c r="S53" s="64"/>
      <c r="T53" s="90"/>
      <c r="U53" s="76" t="s">
        <v>111</v>
      </c>
      <c r="V53" s="9"/>
      <c r="W53" s="9"/>
      <c r="X53" s="9"/>
      <c r="Y53" s="9"/>
      <c r="Z53" s="9"/>
      <c r="AA53" s="64"/>
      <c r="AB53" s="76" t="s">
        <v>111</v>
      </c>
    </row>
    <row r="54" spans="3:21" ht="24.75" customHeight="1" hidden="1">
      <c r="C54" s="43"/>
      <c r="D54" s="43"/>
      <c r="E54" s="43"/>
      <c r="F54" s="43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88"/>
      <c r="T54" s="88"/>
      <c r="U54" s="9"/>
    </row>
    <row r="55" spans="1:23" s="150" customFormat="1" ht="80.25" customHeight="1">
      <c r="A55" s="142"/>
      <c r="B55" s="231" t="s">
        <v>119</v>
      </c>
      <c r="C55" s="231"/>
      <c r="D55" s="231"/>
      <c r="E55" s="231"/>
      <c r="F55" s="231"/>
      <c r="G55" s="143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118</v>
      </c>
      <c r="V55" s="148"/>
      <c r="W55" s="149"/>
    </row>
    <row r="56" spans="3:21" ht="18.75">
      <c r="C56" s="44"/>
      <c r="D56" s="44"/>
      <c r="E56" s="44"/>
      <c r="F56" s="44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90"/>
      <c r="U56" s="12"/>
    </row>
    <row r="57" spans="2:21" ht="18.75">
      <c r="B57" s="1" t="s">
        <v>43</v>
      </c>
      <c r="C57" s="45">
        <v>1256.9</v>
      </c>
      <c r="D57" s="45"/>
      <c r="E57" s="45"/>
      <c r="F57" s="45"/>
      <c r="G57" s="18">
        <v>1154.2</v>
      </c>
      <c r="H57" s="18">
        <v>1213.3</v>
      </c>
      <c r="I57" s="18"/>
      <c r="J57" s="18">
        <v>142.7</v>
      </c>
      <c r="K57" s="18">
        <v>103.3</v>
      </c>
      <c r="L57" s="18"/>
      <c r="M57" s="18"/>
      <c r="N57" s="18"/>
      <c r="O57" s="18"/>
      <c r="P57" s="18"/>
      <c r="Q57" s="18"/>
      <c r="R57" s="18"/>
      <c r="S57" s="86"/>
      <c r="T57" s="86"/>
      <c r="U57" s="16">
        <f>C57+G57-H57</f>
        <v>1197.8000000000004</v>
      </c>
    </row>
    <row r="58" spans="2:21" ht="18.75">
      <c r="B58" s="1" t="s">
        <v>44</v>
      </c>
      <c r="C58" s="44">
        <v>1174.8</v>
      </c>
      <c r="D58" s="44"/>
      <c r="E58" s="44"/>
      <c r="F58" s="44"/>
      <c r="G58" s="12">
        <v>1415.7</v>
      </c>
      <c r="H58" s="12">
        <v>1436.1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90"/>
      <c r="T58" s="90"/>
      <c r="U58" s="16">
        <f>C58+G58-H58</f>
        <v>1154.4</v>
      </c>
    </row>
    <row r="59" spans="3:21" ht="18.75">
      <c r="C59" s="44"/>
      <c r="D59" s="44"/>
      <c r="E59" s="44"/>
      <c r="F59" s="44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90"/>
      <c r="T59" s="90"/>
      <c r="U59" s="12"/>
    </row>
    <row r="60" spans="3:21" ht="18.75">
      <c r="C60" s="44"/>
      <c r="D60" s="44"/>
      <c r="E60" s="44"/>
      <c r="F60" s="44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90"/>
      <c r="T60" s="90"/>
      <c r="U60" s="12"/>
    </row>
    <row r="61" spans="2:21" ht="18.75">
      <c r="B61" s="1" t="s">
        <v>45</v>
      </c>
      <c r="C61" s="44">
        <f>C10+C18+C21+C27+C37+C39+C41</f>
        <v>25212.1</v>
      </c>
      <c r="D61" s="44"/>
      <c r="E61" s="44"/>
      <c r="F61" s="44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90"/>
      <c r="T61" s="90"/>
      <c r="U61" s="12">
        <f>U10+U18+U21+U27+U37+U39+U41</f>
        <v>22272.7</v>
      </c>
    </row>
    <row r="62" spans="2:21" ht="18.75">
      <c r="B62" s="1" t="s">
        <v>46</v>
      </c>
      <c r="C62" s="44">
        <f>C12+C14+C15+C17+C19+C20+C26</f>
        <v>1852.1</v>
      </c>
      <c r="D62" s="44"/>
      <c r="E62" s="44"/>
      <c r="F62" s="44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90"/>
      <c r="T62" s="90"/>
      <c r="U62" s="12">
        <f>U12+U14+U15+U17+U19+U20+U26</f>
        <v>1854.3999999999999</v>
      </c>
    </row>
    <row r="63" spans="3:21" ht="18.75">
      <c r="C63" s="44"/>
      <c r="D63" s="44"/>
      <c r="E63" s="44"/>
      <c r="F63" s="44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90"/>
      <c r="T63" s="90"/>
      <c r="U63" s="12"/>
    </row>
    <row r="64" spans="3:21" ht="18.75">
      <c r="C64" s="44"/>
      <c r="D64" s="44"/>
      <c r="E64" s="44"/>
      <c r="F64" s="44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90"/>
      <c r="T64" s="90"/>
      <c r="U64" s="12"/>
    </row>
    <row r="65" spans="3:21" ht="18.75">
      <c r="C65" s="44"/>
      <c r="D65" s="44"/>
      <c r="E65" s="44"/>
      <c r="F65" s="44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12"/>
    </row>
    <row r="66" spans="3:21" ht="18.75">
      <c r="C66" s="44"/>
      <c r="D66" s="44"/>
      <c r="E66" s="44"/>
      <c r="F66" s="44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12"/>
    </row>
    <row r="67" spans="3:21" ht="18.75">
      <c r="C67" s="44"/>
      <c r="D67" s="44"/>
      <c r="E67" s="44"/>
      <c r="F67" s="44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12"/>
    </row>
    <row r="68" spans="3:21" ht="18.75">
      <c r="C68" s="44"/>
      <c r="D68" s="44"/>
      <c r="E68" s="44"/>
      <c r="F68" s="44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12"/>
    </row>
    <row r="69" spans="3:21" ht="18.75">
      <c r="C69" s="44"/>
      <c r="D69" s="44"/>
      <c r="E69" s="44"/>
      <c r="F69" s="44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12"/>
    </row>
    <row r="70" spans="3:21" ht="18.75">
      <c r="C70" s="44"/>
      <c r="D70" s="44"/>
      <c r="E70" s="44"/>
      <c r="F70" s="44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12"/>
    </row>
    <row r="71" spans="3:21" ht="18.75">
      <c r="C71" s="44"/>
      <c r="D71" s="44"/>
      <c r="E71" s="44"/>
      <c r="F71" s="44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12"/>
    </row>
    <row r="72" spans="3:21" ht="18.75">
      <c r="C72" s="44"/>
      <c r="D72" s="44"/>
      <c r="E72" s="44"/>
      <c r="F72" s="44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12"/>
    </row>
    <row r="73" spans="3:21" ht="18.75">
      <c r="C73" s="44"/>
      <c r="D73" s="44"/>
      <c r="E73" s="44"/>
      <c r="F73" s="44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12"/>
    </row>
    <row r="74" spans="3:21" ht="18.75">
      <c r="C74" s="44"/>
      <c r="D74" s="44"/>
      <c r="E74" s="44"/>
      <c r="F74" s="44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12"/>
    </row>
    <row r="75" spans="3:21" ht="18.75">
      <c r="C75" s="44"/>
      <c r="D75" s="44"/>
      <c r="E75" s="44"/>
      <c r="F75" s="44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12"/>
    </row>
    <row r="76" spans="3:21" ht="18.75">
      <c r="C76" s="44"/>
      <c r="D76" s="44"/>
      <c r="E76" s="44"/>
      <c r="F76" s="44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12"/>
    </row>
    <row r="77" spans="3:21" ht="18.75">
      <c r="C77" s="44"/>
      <c r="D77" s="44"/>
      <c r="E77" s="44"/>
      <c r="F77" s="44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12"/>
    </row>
    <row r="78" spans="3:21" ht="18.75">
      <c r="C78" s="44"/>
      <c r="D78" s="44"/>
      <c r="E78" s="44"/>
      <c r="F78" s="44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12"/>
    </row>
    <row r="79" spans="3:21" ht="18.75">
      <c r="C79" s="44"/>
      <c r="D79" s="44"/>
      <c r="E79" s="44"/>
      <c r="F79" s="44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12"/>
    </row>
    <row r="80" spans="3:21" ht="18.75">
      <c r="C80" s="44"/>
      <c r="D80" s="44"/>
      <c r="E80" s="44"/>
      <c r="F80" s="44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12"/>
    </row>
    <row r="81" spans="3:21" ht="18.75">
      <c r="C81" s="44"/>
      <c r="D81" s="44"/>
      <c r="E81" s="44"/>
      <c r="F81" s="44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12"/>
    </row>
    <row r="82" spans="3:21" ht="18.75">
      <c r="C82" s="44"/>
      <c r="D82" s="44"/>
      <c r="E82" s="44"/>
      <c r="F82" s="44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12"/>
    </row>
    <row r="83" spans="3:21" ht="18.75">
      <c r="C83" s="44"/>
      <c r="D83" s="44"/>
      <c r="E83" s="44"/>
      <c r="F83" s="44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12"/>
    </row>
    <row r="84" spans="3:21" ht="18.75">
      <c r="C84" s="44"/>
      <c r="D84" s="44"/>
      <c r="E84" s="44"/>
      <c r="F84" s="44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12"/>
    </row>
    <row r="85" spans="3:21" ht="18.75">
      <c r="C85" s="44"/>
      <c r="D85" s="44"/>
      <c r="E85" s="44"/>
      <c r="F85" s="44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12"/>
    </row>
    <row r="86" spans="3:21" ht="18.75">
      <c r="C86" s="44"/>
      <c r="D86" s="44"/>
      <c r="E86" s="44"/>
      <c r="F86" s="44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12"/>
    </row>
    <row r="87" spans="3:21" ht="18.75">
      <c r="C87" s="44"/>
      <c r="D87" s="44"/>
      <c r="E87" s="44"/>
      <c r="F87" s="44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12"/>
    </row>
    <row r="88" spans="3:21" ht="18.75">
      <c r="C88" s="44"/>
      <c r="D88" s="44"/>
      <c r="E88" s="44"/>
      <c r="F88" s="44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12"/>
    </row>
    <row r="89" spans="3:21" ht="18.75">
      <c r="C89" s="44"/>
      <c r="D89" s="44"/>
      <c r="E89" s="44"/>
      <c r="F89" s="44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12"/>
    </row>
    <row r="90" spans="3:21" ht="18.75">
      <c r="C90" s="44"/>
      <c r="D90" s="44"/>
      <c r="E90" s="44"/>
      <c r="F90" s="44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12"/>
    </row>
    <row r="91" spans="3:21" ht="18.75">
      <c r="C91" s="44"/>
      <c r="D91" s="44"/>
      <c r="E91" s="44"/>
      <c r="F91" s="44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12"/>
    </row>
    <row r="92" spans="3:21" ht="18.75">
      <c r="C92" s="44"/>
      <c r="D92" s="44"/>
      <c r="E92" s="44"/>
      <c r="F92" s="44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12"/>
    </row>
    <row r="93" spans="3:21" ht="18.75">
      <c r="C93" s="44"/>
      <c r="D93" s="44"/>
      <c r="E93" s="44"/>
      <c r="F93" s="44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12"/>
    </row>
    <row r="94" spans="3:21" ht="18.75">
      <c r="C94" s="44"/>
      <c r="D94" s="44"/>
      <c r="E94" s="44"/>
      <c r="F94" s="44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12"/>
    </row>
    <row r="95" spans="3:21" ht="18.75">
      <c r="C95" s="44"/>
      <c r="D95" s="44"/>
      <c r="E95" s="44"/>
      <c r="F95" s="44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12"/>
    </row>
    <row r="96" spans="3:21" ht="18.75">
      <c r="C96" s="44"/>
      <c r="D96" s="44"/>
      <c r="E96" s="44"/>
      <c r="F96" s="44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12"/>
    </row>
    <row r="97" spans="3:21" ht="18.75">
      <c r="C97" s="44"/>
      <c r="D97" s="44"/>
      <c r="E97" s="44"/>
      <c r="F97" s="44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12"/>
    </row>
    <row r="98" spans="3:21" ht="18.75">
      <c r="C98" s="44"/>
      <c r="D98" s="44"/>
      <c r="E98" s="44"/>
      <c r="F98" s="44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12"/>
    </row>
    <row r="99" spans="3:21" ht="18.75">
      <c r="C99" s="44"/>
      <c r="D99" s="44"/>
      <c r="E99" s="44"/>
      <c r="F99" s="44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12"/>
    </row>
    <row r="100" spans="3:21" ht="18.75">
      <c r="C100" s="44"/>
      <c r="D100" s="44"/>
      <c r="E100" s="44"/>
      <c r="F100" s="44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12"/>
    </row>
    <row r="101" spans="3:21" ht="18.75">
      <c r="C101" s="44"/>
      <c r="D101" s="44"/>
      <c r="E101" s="44"/>
      <c r="F101" s="44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12"/>
    </row>
    <row r="102" spans="3:21" ht="18.75">
      <c r="C102" s="44"/>
      <c r="D102" s="44"/>
      <c r="E102" s="44"/>
      <c r="F102" s="44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12"/>
    </row>
    <row r="103" spans="3:21" ht="18.75">
      <c r="C103" s="44"/>
      <c r="D103" s="44"/>
      <c r="E103" s="44"/>
      <c r="F103" s="44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12"/>
    </row>
    <row r="104" spans="3:21" ht="18.75">
      <c r="C104" s="44"/>
      <c r="D104" s="44"/>
      <c r="E104" s="44"/>
      <c r="F104" s="44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12"/>
    </row>
  </sheetData>
  <sheetProtection/>
  <mergeCells count="17">
    <mergeCell ref="B55:F55"/>
    <mergeCell ref="A53:D53"/>
    <mergeCell ref="P5:R5"/>
    <mergeCell ref="M5:O5"/>
    <mergeCell ref="G1:U1"/>
    <mergeCell ref="B4:C4"/>
    <mergeCell ref="B2:U2"/>
    <mergeCell ref="B3:U3"/>
    <mergeCell ref="T5:T7"/>
    <mergeCell ref="C5:C6"/>
    <mergeCell ref="G5:I5"/>
    <mergeCell ref="D5:F5"/>
    <mergeCell ref="D24:U24"/>
    <mergeCell ref="D30:U32"/>
    <mergeCell ref="S5:S7"/>
    <mergeCell ref="U5:U7"/>
    <mergeCell ref="J5:L5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5"/>
  <sheetViews>
    <sheetView view="pageBreakPreview" zoomScale="75" zoomScaleNormal="75" zoomScaleSheetLayoutView="75" zoomScalePageLayoutView="0" workbookViewId="0" topLeftCell="A2">
      <pane xSplit="2" ySplit="6" topLeftCell="C4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B55" sqref="B55:F55"/>
    </sheetView>
  </sheetViews>
  <sheetFormatPr defaultColWidth="7.875" defaultRowHeight="12.75"/>
  <cols>
    <col min="1" max="1" width="6.125" style="1" customWidth="1"/>
    <col min="2" max="2" width="46.6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2.25390625" style="1" hidden="1" customWidth="1"/>
    <col min="16" max="17" width="14.75390625" style="1" hidden="1" customWidth="1"/>
    <col min="18" max="18" width="12.00390625" style="1" hidden="1" customWidth="1"/>
    <col min="19" max="19" width="20.75390625" style="1" hidden="1" customWidth="1"/>
    <col min="20" max="20" width="22.625" style="74" customWidth="1"/>
    <col min="21" max="21" width="23.375" style="1" customWidth="1"/>
    <col min="22" max="22" width="18.375" style="65" customWidth="1"/>
    <col min="23" max="23" width="13.375" style="65" customWidth="1"/>
    <col min="24" max="24" width="18.375" style="65" customWidth="1"/>
    <col min="25" max="25" width="14.00390625" style="65" customWidth="1"/>
    <col min="26" max="26" width="15.00390625" style="95" customWidth="1"/>
    <col min="27" max="27" width="13.75390625" style="95" customWidth="1"/>
    <col min="28" max="34" width="7.875" style="95" customWidth="1"/>
    <col min="35" max="16384" width="7.875" style="1" customWidth="1"/>
  </cols>
  <sheetData>
    <row r="1" spans="7:21" ht="18.75"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2:24" ht="18.75">
      <c r="B2" s="232" t="s">
        <v>103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X2" s="233"/>
    </row>
    <row r="3" spans="2:24" ht="18.75">
      <c r="B3" s="212" t="s">
        <v>122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X3" s="233"/>
    </row>
    <row r="4" spans="2:24" ht="18.75">
      <c r="B4" s="213"/>
      <c r="C4" s="213"/>
      <c r="D4" s="213"/>
      <c r="E4" s="213"/>
      <c r="F4" s="213"/>
      <c r="U4" s="74" t="s">
        <v>54</v>
      </c>
      <c r="X4" s="233"/>
    </row>
    <row r="5" spans="1:25" ht="36.75" customHeight="1">
      <c r="A5" s="3"/>
      <c r="B5" s="3"/>
      <c r="C5" s="214" t="s">
        <v>1</v>
      </c>
      <c r="D5" s="237" t="s">
        <v>110</v>
      </c>
      <c r="E5" s="238"/>
      <c r="F5" s="239"/>
      <c r="G5" s="216" t="s">
        <v>121</v>
      </c>
      <c r="H5" s="217"/>
      <c r="I5" s="218"/>
      <c r="J5" s="188" t="s">
        <v>109</v>
      </c>
      <c r="K5" s="189"/>
      <c r="L5" s="190"/>
      <c r="M5" s="188" t="s">
        <v>112</v>
      </c>
      <c r="N5" s="189"/>
      <c r="O5" s="190"/>
      <c r="P5" s="188" t="s">
        <v>113</v>
      </c>
      <c r="Q5" s="189"/>
      <c r="R5" s="190"/>
      <c r="S5" s="197" t="s">
        <v>114</v>
      </c>
      <c r="T5" s="197" t="s">
        <v>123</v>
      </c>
      <c r="U5" s="191" t="s">
        <v>124</v>
      </c>
      <c r="V5" s="235"/>
      <c r="W5" s="235"/>
      <c r="X5" s="234"/>
      <c r="Y5" s="233"/>
    </row>
    <row r="6" spans="1:25" ht="18.75">
      <c r="A6" s="5" t="s">
        <v>39</v>
      </c>
      <c r="B6" s="4" t="s">
        <v>2</v>
      </c>
      <c r="C6" s="215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8"/>
      <c r="T6" s="198"/>
      <c r="U6" s="192"/>
      <c r="V6" s="235"/>
      <c r="W6" s="235"/>
      <c r="X6" s="234"/>
      <c r="Y6" s="233"/>
    </row>
    <row r="7" spans="1:25" ht="39.75" customHeight="1">
      <c r="A7" s="22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9"/>
      <c r="T7" s="199"/>
      <c r="U7" s="193"/>
      <c r="V7" s="235"/>
      <c r="W7" s="235"/>
      <c r="X7" s="234"/>
      <c r="Y7" s="233"/>
    </row>
    <row r="8" spans="1:34" s="7" customFormat="1" ht="36" customHeight="1">
      <c r="A8" s="13"/>
      <c r="B8" s="8" t="s">
        <v>7</v>
      </c>
      <c r="C8" s="40">
        <f>SUM(C9:C43)</f>
        <v>4333.1</v>
      </c>
      <c r="D8" s="40">
        <f>SUM(D9:D43)</f>
        <v>5705.5</v>
      </c>
      <c r="E8" s="40">
        <f>SUM(E9:E43)</f>
        <v>5456</v>
      </c>
      <c r="F8" s="40">
        <f aca="true" t="shared" si="0" ref="F8:F48">E8/D8*100</f>
        <v>95.62702655332573</v>
      </c>
      <c r="G8" s="17">
        <f>SUM(G9:G43)</f>
        <v>13855.5</v>
      </c>
      <c r="H8" s="17">
        <f>SUM(H9:H43)</f>
        <v>15476.2</v>
      </c>
      <c r="I8" s="17">
        <f aca="true" t="shared" si="1" ref="I8:I45">H8/G8*100</f>
        <v>111.69715997257408</v>
      </c>
      <c r="J8" s="17">
        <f>SUM(J9:J43)</f>
        <v>1640.7</v>
      </c>
      <c r="K8" s="17">
        <f>SUM(K9:K43)</f>
        <v>2459.0000000000005</v>
      </c>
      <c r="L8" s="17">
        <f>K8/J8*100</f>
        <v>149.87505333089535</v>
      </c>
      <c r="M8" s="17">
        <f>SUM(M9:M43)</f>
        <v>1841.1999999999998</v>
      </c>
      <c r="N8" s="17">
        <f>SUM(N9:N43)</f>
        <v>1381.3999999999999</v>
      </c>
      <c r="O8" s="17">
        <f>N8/M8*100</f>
        <v>75.02715620247665</v>
      </c>
      <c r="P8" s="17">
        <f>SUM(P9:P43)</f>
        <v>2223.6</v>
      </c>
      <c r="Q8" s="17">
        <f>SUM(Q9:Q43)</f>
        <v>1615.6</v>
      </c>
      <c r="R8" s="17">
        <f>Q8/P8*100</f>
        <v>72.65695268933261</v>
      </c>
      <c r="S8" s="93">
        <f>SUM(S9:S43)</f>
        <v>249.4999999999999</v>
      </c>
      <c r="T8" s="105">
        <f>SUMIF(T9:T43,"&gt;0",T9:T43)</f>
        <v>61.40000000000009</v>
      </c>
      <c r="U8" s="59">
        <f>SUMIF(U9:U43,"&gt;0",U9:U43)</f>
        <v>2715.3999999999996</v>
      </c>
      <c r="V8" s="140">
        <f>SUMIF(T9:T43,"&lt;0",T9:T43)</f>
        <v>-1682.1000000000004</v>
      </c>
      <c r="W8" s="105">
        <f>SUMIF(U9:U43,"&lt;0",U9:U43)</f>
        <v>-3</v>
      </c>
      <c r="X8" s="96"/>
      <c r="Y8" s="97"/>
      <c r="Z8" s="56"/>
      <c r="AA8" s="30"/>
      <c r="AB8" s="56"/>
      <c r="AC8" s="56"/>
      <c r="AD8" s="56"/>
      <c r="AE8" s="56"/>
      <c r="AF8" s="56"/>
      <c r="AG8" s="56"/>
      <c r="AH8" s="56"/>
    </row>
    <row r="9" spans="1:27" ht="36.75" customHeight="1">
      <c r="A9" s="2">
        <v>1</v>
      </c>
      <c r="B9" s="23" t="s">
        <v>13</v>
      </c>
      <c r="C9" s="41">
        <v>534.1</v>
      </c>
      <c r="D9" s="41">
        <f>J9+M9+P9</f>
        <v>617.9</v>
      </c>
      <c r="E9" s="41">
        <f>K9+N9+Q9</f>
        <v>229.6</v>
      </c>
      <c r="F9" s="92">
        <f>E9/D9*100</f>
        <v>37.15811620003237</v>
      </c>
      <c r="G9" s="18">
        <v>1532.2</v>
      </c>
      <c r="H9" s="18">
        <v>1762.7</v>
      </c>
      <c r="I9" s="18">
        <f t="shared" si="1"/>
        <v>115.0437279728495</v>
      </c>
      <c r="J9" s="18">
        <v>188.2</v>
      </c>
      <c r="K9" s="18">
        <v>41.1</v>
      </c>
      <c r="L9" s="18">
        <f>K9/J9*100</f>
        <v>21.838469713071206</v>
      </c>
      <c r="M9" s="18">
        <v>201.7</v>
      </c>
      <c r="N9" s="18">
        <v>188.5</v>
      </c>
      <c r="O9" s="18">
        <f>N9/M9*100</f>
        <v>93.45562716906298</v>
      </c>
      <c r="P9" s="18">
        <v>228</v>
      </c>
      <c r="Q9" s="18">
        <v>0</v>
      </c>
      <c r="R9" s="18">
        <f>Q9/P9*100</f>
        <v>0</v>
      </c>
      <c r="S9" s="17">
        <f>D9-E9</f>
        <v>388.29999999999995</v>
      </c>
      <c r="T9" s="68">
        <f>G9-H9</f>
        <v>-230.5</v>
      </c>
      <c r="U9" s="16">
        <f aca="true" t="shared" si="2" ref="U9:U43">C9+G9-H9</f>
        <v>303.60000000000014</v>
      </c>
      <c r="V9" s="98"/>
      <c r="W9" s="98"/>
      <c r="X9" s="98"/>
      <c r="Y9" s="98"/>
      <c r="AA9" s="30"/>
    </row>
    <row r="10" spans="1:27" ht="41.25" customHeight="1">
      <c r="A10" s="2">
        <v>2</v>
      </c>
      <c r="B10" s="53" t="s">
        <v>38</v>
      </c>
      <c r="C10" s="41">
        <v>11.1</v>
      </c>
      <c r="D10" s="41">
        <f>J10+M10+P10</f>
        <v>17.1</v>
      </c>
      <c r="E10" s="41">
        <f>K10+N10+Q10</f>
        <v>3.4</v>
      </c>
      <c r="F10" s="92">
        <f>E10/D10*100</f>
        <v>19.883040935672515</v>
      </c>
      <c r="G10" s="18">
        <v>32.9</v>
      </c>
      <c r="H10" s="18">
        <v>38.8</v>
      </c>
      <c r="I10" s="18">
        <f t="shared" si="1"/>
        <v>117.93313069908815</v>
      </c>
      <c r="J10" s="18">
        <v>4</v>
      </c>
      <c r="K10" s="18">
        <v>0</v>
      </c>
      <c r="L10" s="18">
        <f aca="true" t="shared" si="3" ref="L10:L48">K10/J10*100</f>
        <v>0</v>
      </c>
      <c r="M10" s="18">
        <v>6.1</v>
      </c>
      <c r="N10" s="18">
        <v>0</v>
      </c>
      <c r="O10" s="18">
        <f aca="true" t="shared" si="4" ref="O10:O20">N10/M10*100</f>
        <v>0</v>
      </c>
      <c r="P10" s="18">
        <v>7</v>
      </c>
      <c r="Q10" s="18">
        <v>3.4</v>
      </c>
      <c r="R10" s="18">
        <f aca="true" t="shared" si="5" ref="R10:R46">Q10/P10*100</f>
        <v>48.57142857142857</v>
      </c>
      <c r="S10" s="17">
        <f aca="true" t="shared" si="6" ref="S10:T47">D10-E10</f>
        <v>13.700000000000001</v>
      </c>
      <c r="T10" s="68">
        <f>G10-H10</f>
        <v>-5.899999999999999</v>
      </c>
      <c r="U10" s="16">
        <f t="shared" si="2"/>
        <v>5.200000000000003</v>
      </c>
      <c r="V10" s="98"/>
      <c r="W10" s="98"/>
      <c r="X10" s="98"/>
      <c r="Y10" s="98"/>
      <c r="AA10" s="30"/>
    </row>
    <row r="11" spans="1:27" ht="35.25" customHeight="1">
      <c r="A11" s="2">
        <v>3</v>
      </c>
      <c r="B11" s="25" t="s">
        <v>108</v>
      </c>
      <c r="C11" s="41"/>
      <c r="D11" s="34">
        <f>J11</f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3"/>
        <v>#DIV/0!</v>
      </c>
      <c r="M11" s="26"/>
      <c r="N11" s="26"/>
      <c r="O11" s="18" t="e">
        <f t="shared" si="4"/>
        <v>#DIV/0!</v>
      </c>
      <c r="P11" s="18"/>
      <c r="Q11" s="18"/>
      <c r="R11" s="18" t="e">
        <f t="shared" si="5"/>
        <v>#DIV/0!</v>
      </c>
      <c r="S11" s="35">
        <f t="shared" si="6"/>
        <v>0</v>
      </c>
      <c r="T11" s="104">
        <f t="shared" si="6"/>
        <v>0</v>
      </c>
      <c r="U11" s="80">
        <f t="shared" si="2"/>
        <v>0</v>
      </c>
      <c r="V11" s="98"/>
      <c r="W11" s="98"/>
      <c r="X11" s="98"/>
      <c r="Y11" s="98"/>
      <c r="AA11" s="30"/>
    </row>
    <row r="12" spans="1:27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26" t="e">
        <f t="shared" si="1"/>
        <v>#DIV/0!</v>
      </c>
      <c r="J12" s="18"/>
      <c r="K12" s="18"/>
      <c r="L12" s="26" t="e">
        <f t="shared" si="3"/>
        <v>#DIV/0!</v>
      </c>
      <c r="M12" s="26"/>
      <c r="N12" s="26"/>
      <c r="O12" s="18" t="e">
        <f t="shared" si="4"/>
        <v>#DIV/0!</v>
      </c>
      <c r="P12" s="18"/>
      <c r="Q12" s="18"/>
      <c r="R12" s="18" t="e">
        <f t="shared" si="5"/>
        <v>#DIV/0!</v>
      </c>
      <c r="S12" s="17">
        <f t="shared" si="6"/>
        <v>0</v>
      </c>
      <c r="T12" s="104" t="e">
        <f t="shared" si="6"/>
        <v>#DIV/0!</v>
      </c>
      <c r="U12" s="16">
        <f t="shared" si="2"/>
        <v>0</v>
      </c>
      <c r="V12" s="98"/>
      <c r="W12" s="98"/>
      <c r="X12" s="98"/>
      <c r="Y12" s="98"/>
      <c r="AA12" s="30"/>
    </row>
    <row r="13" spans="1:27" ht="24" customHeight="1">
      <c r="A13" s="2">
        <v>5</v>
      </c>
      <c r="B13" s="23" t="s">
        <v>15</v>
      </c>
      <c r="C13" s="41">
        <v>74.2</v>
      </c>
      <c r="D13" s="41">
        <f aca="true" t="shared" si="7" ref="D13:D47">J13+M13+P13</f>
        <v>78.2</v>
      </c>
      <c r="E13" s="41">
        <f aca="true" t="shared" si="8" ref="E13:E47">K13+N13+Q13</f>
        <v>43</v>
      </c>
      <c r="F13" s="92">
        <f t="shared" si="0"/>
        <v>54.987212276214834</v>
      </c>
      <c r="G13" s="18">
        <v>184.2</v>
      </c>
      <c r="H13" s="18">
        <v>233.9</v>
      </c>
      <c r="I13" s="18">
        <f t="shared" si="1"/>
        <v>126.98154180238872</v>
      </c>
      <c r="J13" s="18">
        <v>18.6</v>
      </c>
      <c r="K13" s="18"/>
      <c r="L13" s="18">
        <f t="shared" si="3"/>
        <v>0</v>
      </c>
      <c r="M13" s="18">
        <v>24.3</v>
      </c>
      <c r="N13" s="18">
        <v>18.7</v>
      </c>
      <c r="O13" s="18">
        <f t="shared" si="4"/>
        <v>76.95473251028805</v>
      </c>
      <c r="P13" s="18">
        <v>35.3</v>
      </c>
      <c r="Q13" s="18">
        <v>24.3</v>
      </c>
      <c r="R13" s="18">
        <f t="shared" si="5"/>
        <v>68.83852691218131</v>
      </c>
      <c r="S13" s="17">
        <f t="shared" si="6"/>
        <v>35.2</v>
      </c>
      <c r="T13" s="68">
        <f>G13-H13</f>
        <v>-49.70000000000002</v>
      </c>
      <c r="U13" s="16">
        <f t="shared" si="2"/>
        <v>24.49999999999997</v>
      </c>
      <c r="V13" s="98"/>
      <c r="W13" s="98"/>
      <c r="X13" s="98"/>
      <c r="Y13" s="98"/>
      <c r="AA13" s="30"/>
    </row>
    <row r="14" spans="1:27" ht="24" customHeight="1">
      <c r="A14" s="2">
        <v>6</v>
      </c>
      <c r="B14" s="23" t="s">
        <v>16</v>
      </c>
      <c r="C14" s="41">
        <v>2.4</v>
      </c>
      <c r="D14" s="41">
        <f t="shared" si="7"/>
        <v>3.9000000000000004</v>
      </c>
      <c r="E14" s="41">
        <f t="shared" si="8"/>
        <v>2.6</v>
      </c>
      <c r="F14" s="92">
        <f t="shared" si="0"/>
        <v>66.66666666666666</v>
      </c>
      <c r="G14" s="18">
        <v>8.4</v>
      </c>
      <c r="H14" s="18">
        <v>10.6</v>
      </c>
      <c r="I14" s="18">
        <f t="shared" si="1"/>
        <v>126.19047619047619</v>
      </c>
      <c r="J14" s="18">
        <v>1.3</v>
      </c>
      <c r="K14" s="18">
        <v>1.3</v>
      </c>
      <c r="L14" s="18">
        <f t="shared" si="3"/>
        <v>100</v>
      </c>
      <c r="M14" s="18">
        <v>1.3</v>
      </c>
      <c r="N14" s="18">
        <v>1.3</v>
      </c>
      <c r="O14" s="18">
        <f t="shared" si="4"/>
        <v>100</v>
      </c>
      <c r="P14" s="18">
        <v>1.3</v>
      </c>
      <c r="Q14" s="18">
        <v>0</v>
      </c>
      <c r="R14" s="18">
        <f t="shared" si="5"/>
        <v>0</v>
      </c>
      <c r="S14" s="17">
        <f t="shared" si="6"/>
        <v>1.3000000000000003</v>
      </c>
      <c r="T14" s="68">
        <f aca="true" t="shared" si="9" ref="T14:T20">G14-H14</f>
        <v>-2.1999999999999993</v>
      </c>
      <c r="U14" s="16">
        <f t="shared" si="2"/>
        <v>0.20000000000000107</v>
      </c>
      <c r="V14" s="98"/>
      <c r="W14" s="98"/>
      <c r="X14" s="98"/>
      <c r="Y14" s="98"/>
      <c r="AA14" s="30"/>
    </row>
    <row r="15" spans="1:27" ht="24" customHeight="1">
      <c r="A15" s="2">
        <v>7</v>
      </c>
      <c r="B15" s="23" t="s">
        <v>17</v>
      </c>
      <c r="C15" s="41">
        <v>0</v>
      </c>
      <c r="D15" s="41">
        <f t="shared" si="7"/>
        <v>0</v>
      </c>
      <c r="E15" s="41">
        <f t="shared" si="8"/>
        <v>0</v>
      </c>
      <c r="F15" s="26" t="e">
        <f t="shared" si="0"/>
        <v>#DIV/0!</v>
      </c>
      <c r="G15" s="26"/>
      <c r="H15" s="26"/>
      <c r="I15" s="130" t="e">
        <f t="shared" si="1"/>
        <v>#DIV/0!</v>
      </c>
      <c r="J15" s="26"/>
      <c r="K15" s="26"/>
      <c r="L15" s="26" t="e">
        <f t="shared" si="3"/>
        <v>#DIV/0!</v>
      </c>
      <c r="M15" s="26"/>
      <c r="N15" s="26"/>
      <c r="O15" s="18" t="e">
        <f t="shared" si="4"/>
        <v>#DIV/0!</v>
      </c>
      <c r="P15" s="18"/>
      <c r="Q15" s="18"/>
      <c r="R15" s="18" t="e">
        <f t="shared" si="5"/>
        <v>#DIV/0!</v>
      </c>
      <c r="S15" s="35">
        <f t="shared" si="6"/>
        <v>0</v>
      </c>
      <c r="T15" s="68"/>
      <c r="U15" s="16">
        <f t="shared" si="2"/>
        <v>0</v>
      </c>
      <c r="V15" s="98"/>
      <c r="W15" s="98"/>
      <c r="X15" s="98"/>
      <c r="Y15" s="98"/>
      <c r="AA15" s="30"/>
    </row>
    <row r="16" spans="1:27" ht="24" customHeight="1">
      <c r="A16" s="2">
        <v>8</v>
      </c>
      <c r="B16" s="23" t="s">
        <v>18</v>
      </c>
      <c r="C16" s="41">
        <v>100.5</v>
      </c>
      <c r="D16" s="41">
        <f t="shared" si="7"/>
        <v>105.2</v>
      </c>
      <c r="E16" s="41">
        <f t="shared" si="8"/>
        <v>162.79999999999998</v>
      </c>
      <c r="F16" s="92">
        <f t="shared" si="0"/>
        <v>154.7528517110266</v>
      </c>
      <c r="G16" s="18">
        <v>201.2</v>
      </c>
      <c r="H16" s="18">
        <v>254.5</v>
      </c>
      <c r="I16" s="18">
        <f t="shared" si="1"/>
        <v>126.49105367793241</v>
      </c>
      <c r="J16" s="18">
        <v>25.2</v>
      </c>
      <c r="K16" s="18">
        <v>107.4</v>
      </c>
      <c r="L16" s="18">
        <f t="shared" si="3"/>
        <v>426.1904761904762</v>
      </c>
      <c r="M16" s="18">
        <v>30.3</v>
      </c>
      <c r="N16" s="18">
        <v>25.2</v>
      </c>
      <c r="O16" s="18">
        <f t="shared" si="4"/>
        <v>83.16831683168317</v>
      </c>
      <c r="P16" s="18">
        <v>49.7</v>
      </c>
      <c r="Q16" s="18">
        <v>30.2</v>
      </c>
      <c r="R16" s="18">
        <f t="shared" si="5"/>
        <v>60.7645875251509</v>
      </c>
      <c r="S16" s="17">
        <f t="shared" si="6"/>
        <v>-57.59999999999998</v>
      </c>
      <c r="T16" s="68">
        <f t="shared" si="9"/>
        <v>-53.30000000000001</v>
      </c>
      <c r="U16" s="16">
        <f t="shared" si="2"/>
        <v>47.19999999999999</v>
      </c>
      <c r="V16" s="98"/>
      <c r="W16" s="98"/>
      <c r="X16" s="98"/>
      <c r="Y16" s="98"/>
      <c r="AA16" s="30"/>
    </row>
    <row r="17" spans="1:27" ht="24" customHeight="1">
      <c r="A17" s="2">
        <v>9</v>
      </c>
      <c r="B17" s="23" t="s">
        <v>19</v>
      </c>
      <c r="C17" s="41"/>
      <c r="D17" s="41">
        <f t="shared" si="7"/>
        <v>0</v>
      </c>
      <c r="E17" s="41">
        <f t="shared" si="8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3"/>
        <v>#DIV/0!</v>
      </c>
      <c r="M17" s="26"/>
      <c r="N17" s="26"/>
      <c r="O17" s="18" t="e">
        <f t="shared" si="4"/>
        <v>#DIV/0!</v>
      </c>
      <c r="P17" s="18"/>
      <c r="Q17" s="18"/>
      <c r="R17" s="18" t="e">
        <f t="shared" si="5"/>
        <v>#DIV/0!</v>
      </c>
      <c r="S17" s="35">
        <f t="shared" si="6"/>
        <v>0</v>
      </c>
      <c r="T17" s="68"/>
      <c r="U17" s="16">
        <f t="shared" si="2"/>
        <v>0</v>
      </c>
      <c r="V17" s="98"/>
      <c r="W17" s="98"/>
      <c r="X17" s="98"/>
      <c r="Y17" s="98"/>
      <c r="AA17" s="30"/>
    </row>
    <row r="18" spans="1:27" ht="24" customHeight="1">
      <c r="A18" s="2">
        <v>10</v>
      </c>
      <c r="B18" s="25" t="s">
        <v>20</v>
      </c>
      <c r="C18" s="41">
        <v>68.6</v>
      </c>
      <c r="D18" s="41">
        <f t="shared" si="7"/>
        <v>76.80000000000001</v>
      </c>
      <c r="E18" s="41">
        <f t="shared" si="8"/>
        <v>67</v>
      </c>
      <c r="F18" s="92">
        <f t="shared" si="0"/>
        <v>87.23958333333333</v>
      </c>
      <c r="G18" s="18">
        <v>159.6</v>
      </c>
      <c r="H18" s="18">
        <v>177.3</v>
      </c>
      <c r="I18" s="18">
        <f t="shared" si="1"/>
        <v>111.0902255639098</v>
      </c>
      <c r="J18" s="18">
        <v>22.3</v>
      </c>
      <c r="K18" s="18">
        <v>0</v>
      </c>
      <c r="L18" s="18">
        <f t="shared" si="3"/>
        <v>0</v>
      </c>
      <c r="M18" s="18">
        <v>22.6</v>
      </c>
      <c r="N18" s="18">
        <v>44.9</v>
      </c>
      <c r="O18" s="18">
        <f t="shared" si="4"/>
        <v>198.6725663716814</v>
      </c>
      <c r="P18" s="18">
        <v>31.9</v>
      </c>
      <c r="Q18" s="18">
        <v>22.1</v>
      </c>
      <c r="R18" s="18">
        <f t="shared" si="5"/>
        <v>69.27899686520377</v>
      </c>
      <c r="S18" s="17">
        <f t="shared" si="6"/>
        <v>9.800000000000011</v>
      </c>
      <c r="T18" s="68">
        <f t="shared" si="9"/>
        <v>-17.700000000000017</v>
      </c>
      <c r="U18" s="16">
        <f t="shared" si="2"/>
        <v>50.89999999999998</v>
      </c>
      <c r="V18" s="98"/>
      <c r="W18" s="98"/>
      <c r="X18" s="98"/>
      <c r="Y18" s="98"/>
      <c r="AA18" s="30"/>
    </row>
    <row r="19" spans="1:27" ht="24" customHeight="1">
      <c r="A19" s="2">
        <v>11</v>
      </c>
      <c r="B19" s="25" t="s">
        <v>21</v>
      </c>
      <c r="C19" s="41">
        <v>2.7</v>
      </c>
      <c r="D19" s="41">
        <f t="shared" si="7"/>
        <v>2.6</v>
      </c>
      <c r="E19" s="41">
        <f t="shared" si="8"/>
        <v>2.9</v>
      </c>
      <c r="F19" s="92">
        <f t="shared" si="0"/>
        <v>111.53846153846155</v>
      </c>
      <c r="G19" s="18">
        <v>5.9</v>
      </c>
      <c r="H19" s="18">
        <v>7.9</v>
      </c>
      <c r="I19" s="18">
        <f t="shared" si="1"/>
        <v>133.89830508474577</v>
      </c>
      <c r="J19" s="18">
        <v>0.8</v>
      </c>
      <c r="K19" s="18">
        <v>1.1</v>
      </c>
      <c r="L19" s="26">
        <f t="shared" si="3"/>
        <v>137.5</v>
      </c>
      <c r="M19" s="18">
        <v>0.9</v>
      </c>
      <c r="N19" s="18">
        <v>0.9</v>
      </c>
      <c r="O19" s="18">
        <f t="shared" si="4"/>
        <v>100</v>
      </c>
      <c r="P19" s="18">
        <v>0.9</v>
      </c>
      <c r="Q19" s="18">
        <v>0.9</v>
      </c>
      <c r="R19" s="18">
        <f t="shared" si="5"/>
        <v>100</v>
      </c>
      <c r="S19" s="17">
        <f t="shared" si="6"/>
        <v>-0.2999999999999998</v>
      </c>
      <c r="T19" s="68">
        <f t="shared" si="9"/>
        <v>-2</v>
      </c>
      <c r="U19" s="16">
        <f t="shared" si="2"/>
        <v>0.7000000000000011</v>
      </c>
      <c r="V19" s="98"/>
      <c r="W19" s="98"/>
      <c r="X19" s="98"/>
      <c r="Y19" s="98"/>
      <c r="AA19" s="30"/>
    </row>
    <row r="20" spans="1:27" ht="24" customHeight="1">
      <c r="A20" s="2">
        <v>12</v>
      </c>
      <c r="B20" s="23" t="s">
        <v>22</v>
      </c>
      <c r="C20" s="41">
        <v>60.1</v>
      </c>
      <c r="D20" s="41">
        <f t="shared" si="7"/>
        <v>55.9</v>
      </c>
      <c r="E20" s="41">
        <f t="shared" si="8"/>
        <v>55</v>
      </c>
      <c r="F20" s="92">
        <f t="shared" si="0"/>
        <v>98.38998211091234</v>
      </c>
      <c r="G20" s="18">
        <v>244.9</v>
      </c>
      <c r="H20" s="18">
        <v>257.1</v>
      </c>
      <c r="I20" s="18">
        <f t="shared" si="1"/>
        <v>104.98162515312373</v>
      </c>
      <c r="J20" s="18">
        <v>18.4</v>
      </c>
      <c r="K20" s="18">
        <v>20.1</v>
      </c>
      <c r="L20" s="26">
        <f t="shared" si="3"/>
        <v>109.23913043478262</v>
      </c>
      <c r="M20" s="18">
        <v>16.5</v>
      </c>
      <c r="N20" s="18">
        <v>18.4</v>
      </c>
      <c r="O20" s="18">
        <f t="shared" si="4"/>
        <v>111.5151515151515</v>
      </c>
      <c r="P20" s="18">
        <v>21</v>
      </c>
      <c r="Q20" s="18">
        <v>16.5</v>
      </c>
      <c r="R20" s="18">
        <f t="shared" si="5"/>
        <v>78.57142857142857</v>
      </c>
      <c r="S20" s="17">
        <f t="shared" si="6"/>
        <v>0.8999999999999986</v>
      </c>
      <c r="T20" s="68">
        <f t="shared" si="9"/>
        <v>-12.200000000000017</v>
      </c>
      <c r="U20" s="16">
        <f t="shared" si="2"/>
        <v>47.89999999999998</v>
      </c>
      <c r="V20" s="98"/>
      <c r="W20" s="98"/>
      <c r="X20" s="98"/>
      <c r="Y20" s="98"/>
      <c r="AA20" s="30"/>
    </row>
    <row r="21" spans="1:27" ht="24" customHeight="1">
      <c r="A21" s="2">
        <v>13</v>
      </c>
      <c r="B21" s="25" t="s">
        <v>23</v>
      </c>
      <c r="C21" s="41">
        <v>0</v>
      </c>
      <c r="D21" s="34">
        <f>J21</f>
        <v>0</v>
      </c>
      <c r="E21" s="41">
        <f t="shared" si="8"/>
        <v>0</v>
      </c>
      <c r="F21" s="26"/>
      <c r="G21" s="26"/>
      <c r="H21" s="26"/>
      <c r="I21" s="26" t="e">
        <f t="shared" si="1"/>
        <v>#DIV/0!</v>
      </c>
      <c r="J21" s="26"/>
      <c r="K21" s="26"/>
      <c r="L21" s="26" t="e">
        <f t="shared" si="3"/>
        <v>#DIV/0!</v>
      </c>
      <c r="M21" s="26"/>
      <c r="N21" s="26"/>
      <c r="O21" s="26"/>
      <c r="P21" s="26"/>
      <c r="Q21" s="26"/>
      <c r="R21" s="18" t="e">
        <f t="shared" si="5"/>
        <v>#DIV/0!</v>
      </c>
      <c r="S21" s="35">
        <f t="shared" si="6"/>
        <v>0</v>
      </c>
      <c r="T21" s="68"/>
      <c r="U21" s="80">
        <f t="shared" si="2"/>
        <v>0</v>
      </c>
      <c r="V21" s="98"/>
      <c r="W21" s="98"/>
      <c r="X21" s="98"/>
      <c r="Y21" s="98"/>
      <c r="AA21" s="30"/>
    </row>
    <row r="22" spans="1:27" ht="24" customHeight="1">
      <c r="A22" s="2">
        <v>14</v>
      </c>
      <c r="B22" s="25" t="s">
        <v>24</v>
      </c>
      <c r="C22" s="41"/>
      <c r="D22" s="41">
        <f t="shared" si="7"/>
        <v>0</v>
      </c>
      <c r="E22" s="41">
        <f t="shared" si="8"/>
        <v>0</v>
      </c>
      <c r="F22" s="92"/>
      <c r="G22" s="26"/>
      <c r="H22" s="26"/>
      <c r="I22" s="26" t="e">
        <f t="shared" si="1"/>
        <v>#DIV/0!</v>
      </c>
      <c r="J22" s="26"/>
      <c r="K22" s="26"/>
      <c r="L22" s="26" t="e">
        <f t="shared" si="3"/>
        <v>#DIV/0!</v>
      </c>
      <c r="M22" s="26"/>
      <c r="N22" s="26"/>
      <c r="O22" s="26"/>
      <c r="P22" s="26"/>
      <c r="Q22" s="26"/>
      <c r="R22" s="18" t="e">
        <f t="shared" si="5"/>
        <v>#DIV/0!</v>
      </c>
      <c r="S22" s="35">
        <f t="shared" si="6"/>
        <v>0</v>
      </c>
      <c r="T22" s="68"/>
      <c r="U22" s="16">
        <f t="shared" si="2"/>
        <v>0</v>
      </c>
      <c r="V22" s="98"/>
      <c r="W22" s="98"/>
      <c r="X22" s="98"/>
      <c r="Y22" s="98"/>
      <c r="AA22" s="30"/>
    </row>
    <row r="23" spans="1:27" ht="36.75" customHeight="1">
      <c r="A23" s="2">
        <v>15</v>
      </c>
      <c r="B23" s="25" t="s">
        <v>25</v>
      </c>
      <c r="C23" s="41"/>
      <c r="D23" s="41">
        <f t="shared" si="7"/>
        <v>0</v>
      </c>
      <c r="E23" s="41">
        <f t="shared" si="8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3"/>
        <v>#DIV/0!</v>
      </c>
      <c r="M23" s="26"/>
      <c r="N23" s="26"/>
      <c r="O23" s="26"/>
      <c r="P23" s="26"/>
      <c r="Q23" s="26"/>
      <c r="R23" s="18" t="e">
        <f t="shared" si="5"/>
        <v>#DIV/0!</v>
      </c>
      <c r="S23" s="35">
        <f t="shared" si="6"/>
        <v>0</v>
      </c>
      <c r="T23" s="104">
        <f>E23-F23</f>
        <v>0</v>
      </c>
      <c r="U23" s="16">
        <f t="shared" si="2"/>
        <v>0</v>
      </c>
      <c r="V23" s="98"/>
      <c r="W23" s="98"/>
      <c r="X23" s="98"/>
      <c r="Y23" s="98"/>
      <c r="AA23" s="30"/>
    </row>
    <row r="24" spans="1:27" ht="24" customHeight="1">
      <c r="A24" s="2">
        <v>16</v>
      </c>
      <c r="B24" s="25" t="s">
        <v>9</v>
      </c>
      <c r="C24" s="41"/>
      <c r="D24" s="41">
        <f t="shared" si="7"/>
        <v>0</v>
      </c>
      <c r="E24" s="41">
        <f t="shared" si="8"/>
        <v>0</v>
      </c>
      <c r="F24" s="92"/>
      <c r="G24" s="26"/>
      <c r="H24" s="26"/>
      <c r="I24" s="26" t="e">
        <f t="shared" si="1"/>
        <v>#DIV/0!</v>
      </c>
      <c r="J24" s="26"/>
      <c r="K24" s="26"/>
      <c r="L24" s="26" t="e">
        <f t="shared" si="3"/>
        <v>#DIV/0!</v>
      </c>
      <c r="M24" s="26"/>
      <c r="N24" s="26"/>
      <c r="O24" s="26"/>
      <c r="P24" s="26"/>
      <c r="Q24" s="26"/>
      <c r="R24" s="18" t="e">
        <f t="shared" si="5"/>
        <v>#DIV/0!</v>
      </c>
      <c r="S24" s="35">
        <f t="shared" si="6"/>
        <v>0</v>
      </c>
      <c r="T24" s="35">
        <f t="shared" si="6"/>
        <v>0</v>
      </c>
      <c r="U24" s="16">
        <f t="shared" si="2"/>
        <v>0</v>
      </c>
      <c r="V24" s="98"/>
      <c r="W24" s="98"/>
      <c r="X24" s="98"/>
      <c r="Y24" s="98"/>
      <c r="AA24" s="30"/>
    </row>
    <row r="25" spans="1:27" ht="36.75" customHeight="1">
      <c r="A25" s="2">
        <v>17</v>
      </c>
      <c r="B25" s="25" t="s">
        <v>26</v>
      </c>
      <c r="C25" s="41">
        <v>145.1</v>
      </c>
      <c r="D25" s="41">
        <f t="shared" si="7"/>
        <v>381.2</v>
      </c>
      <c r="E25" s="41">
        <f t="shared" si="8"/>
        <v>737.6999999999999</v>
      </c>
      <c r="F25" s="92">
        <f t="shared" si="0"/>
        <v>193.52046169989507</v>
      </c>
      <c r="G25" s="18">
        <v>481.7</v>
      </c>
      <c r="H25" s="18">
        <v>629.8</v>
      </c>
      <c r="I25" s="18">
        <f t="shared" si="1"/>
        <v>130.74527714345027</v>
      </c>
      <c r="J25" s="18">
        <v>112.8</v>
      </c>
      <c r="K25" s="18">
        <v>502.1</v>
      </c>
      <c r="L25" s="18">
        <f t="shared" si="3"/>
        <v>445.12411347517735</v>
      </c>
      <c r="M25" s="18">
        <v>122.8</v>
      </c>
      <c r="N25" s="18">
        <v>112.8</v>
      </c>
      <c r="O25" s="18">
        <f>N25/M25*100</f>
        <v>91.85667752442997</v>
      </c>
      <c r="P25" s="18">
        <v>145.6</v>
      </c>
      <c r="Q25" s="18">
        <v>122.8</v>
      </c>
      <c r="R25" s="18">
        <f t="shared" si="5"/>
        <v>84.34065934065934</v>
      </c>
      <c r="S25" s="17">
        <f t="shared" si="6"/>
        <v>-356.49999999999994</v>
      </c>
      <c r="T25" s="68">
        <f>G25-H25</f>
        <v>-148.09999999999997</v>
      </c>
      <c r="U25" s="16">
        <f t="shared" si="2"/>
        <v>-3</v>
      </c>
      <c r="V25" s="98"/>
      <c r="W25" s="98"/>
      <c r="X25" s="98"/>
      <c r="Y25" s="98"/>
      <c r="AA25" s="30"/>
    </row>
    <row r="26" spans="1:27" ht="24" customHeight="1">
      <c r="A26" s="2">
        <v>18</v>
      </c>
      <c r="B26" s="23" t="s">
        <v>27</v>
      </c>
      <c r="C26" s="41"/>
      <c r="D26" s="41">
        <f t="shared" si="7"/>
        <v>0</v>
      </c>
      <c r="E26" s="41">
        <f t="shared" si="8"/>
        <v>0</v>
      </c>
      <c r="F26" s="92"/>
      <c r="G26" s="26"/>
      <c r="H26" s="26"/>
      <c r="I26" s="26" t="e">
        <f t="shared" si="1"/>
        <v>#DIV/0!</v>
      </c>
      <c r="J26" s="26"/>
      <c r="K26" s="26"/>
      <c r="L26" s="26" t="e">
        <f t="shared" si="3"/>
        <v>#DIV/0!</v>
      </c>
      <c r="M26" s="26"/>
      <c r="N26" s="26"/>
      <c r="O26" s="18" t="e">
        <f>N26/M26*100</f>
        <v>#DIV/0!</v>
      </c>
      <c r="P26" s="18"/>
      <c r="Q26" s="18"/>
      <c r="R26" s="18" t="e">
        <f t="shared" si="5"/>
        <v>#DIV/0!</v>
      </c>
      <c r="S26" s="35">
        <f t="shared" si="6"/>
        <v>0</v>
      </c>
      <c r="T26" s="104">
        <f>E26-F26</f>
        <v>0</v>
      </c>
      <c r="U26" s="16">
        <f t="shared" si="2"/>
        <v>0</v>
      </c>
      <c r="V26" s="98"/>
      <c r="W26" s="98"/>
      <c r="X26" s="98"/>
      <c r="Y26" s="98"/>
      <c r="AA26" s="30"/>
    </row>
    <row r="27" spans="1:27" ht="24" customHeight="1">
      <c r="A27" s="2">
        <v>19</v>
      </c>
      <c r="B27" s="25" t="s">
        <v>28</v>
      </c>
      <c r="C27" s="41">
        <v>39.3</v>
      </c>
      <c r="D27" s="41">
        <f t="shared" si="7"/>
        <v>62.599999999999994</v>
      </c>
      <c r="E27" s="41">
        <f t="shared" si="8"/>
        <v>39.199999999999996</v>
      </c>
      <c r="F27" s="92">
        <f t="shared" si="0"/>
        <v>62.61980830670927</v>
      </c>
      <c r="G27" s="18">
        <v>159.5</v>
      </c>
      <c r="H27" s="18">
        <v>165.6</v>
      </c>
      <c r="I27" s="18">
        <f t="shared" si="1"/>
        <v>103.8244514106583</v>
      </c>
      <c r="J27" s="18">
        <v>19.7</v>
      </c>
      <c r="K27" s="18">
        <v>0</v>
      </c>
      <c r="L27" s="18">
        <f t="shared" si="3"/>
        <v>0</v>
      </c>
      <c r="M27" s="18">
        <v>20.7</v>
      </c>
      <c r="N27" s="18">
        <v>38.4</v>
      </c>
      <c r="O27" s="18">
        <f>N27/M27*100</f>
        <v>185.5072463768116</v>
      </c>
      <c r="P27" s="18">
        <v>22.2</v>
      </c>
      <c r="Q27" s="18">
        <v>0.8</v>
      </c>
      <c r="R27" s="18">
        <f t="shared" si="5"/>
        <v>3.6036036036036037</v>
      </c>
      <c r="S27" s="17">
        <f t="shared" si="6"/>
        <v>23.4</v>
      </c>
      <c r="T27" s="68">
        <f>G27-H27</f>
        <v>-6.099999999999994</v>
      </c>
      <c r="U27" s="16">
        <f t="shared" si="2"/>
        <v>33.20000000000002</v>
      </c>
      <c r="V27" s="98"/>
      <c r="W27" s="98"/>
      <c r="X27" s="98"/>
      <c r="Y27" s="98"/>
      <c r="AA27" s="30"/>
    </row>
    <row r="28" spans="1:27" ht="36.75" customHeight="1">
      <c r="A28" s="2">
        <v>20</v>
      </c>
      <c r="B28" s="25" t="s">
        <v>105</v>
      </c>
      <c r="C28" s="41">
        <v>81.3</v>
      </c>
      <c r="D28" s="41">
        <f t="shared" si="7"/>
        <v>188.5</v>
      </c>
      <c r="E28" s="41">
        <f t="shared" si="8"/>
        <v>102.7</v>
      </c>
      <c r="F28" s="92">
        <f t="shared" si="0"/>
        <v>54.48275862068965</v>
      </c>
      <c r="G28" s="18">
        <v>402.4</v>
      </c>
      <c r="H28" s="18">
        <v>424.5</v>
      </c>
      <c r="I28" s="18">
        <f t="shared" si="1"/>
        <v>105.4920477137177</v>
      </c>
      <c r="J28" s="18">
        <v>46</v>
      </c>
      <c r="K28" s="18">
        <v>0</v>
      </c>
      <c r="L28" s="18">
        <f t="shared" si="3"/>
        <v>0</v>
      </c>
      <c r="M28" s="18">
        <v>49.7</v>
      </c>
      <c r="N28" s="18">
        <v>89.4</v>
      </c>
      <c r="O28" s="18">
        <f>N28/M28*100</f>
        <v>179.87927565392354</v>
      </c>
      <c r="P28" s="18">
        <v>92.8</v>
      </c>
      <c r="Q28" s="18">
        <v>13.3</v>
      </c>
      <c r="R28" s="18">
        <f t="shared" si="5"/>
        <v>14.331896551724139</v>
      </c>
      <c r="S28" s="17">
        <f t="shared" si="6"/>
        <v>85.8</v>
      </c>
      <c r="T28" s="68">
        <f>G28-H28</f>
        <v>-22.100000000000023</v>
      </c>
      <c r="U28" s="16">
        <f t="shared" si="2"/>
        <v>59.19999999999999</v>
      </c>
      <c r="V28" s="98"/>
      <c r="W28" s="98"/>
      <c r="X28" s="98"/>
      <c r="Y28" s="98"/>
      <c r="AA28" s="30"/>
    </row>
    <row r="29" spans="1:27" ht="36.75" customHeight="1">
      <c r="A29" s="2">
        <v>21</v>
      </c>
      <c r="B29" s="23" t="s">
        <v>29</v>
      </c>
      <c r="C29" s="41"/>
      <c r="D29" s="34">
        <f>J29</f>
        <v>0</v>
      </c>
      <c r="E29" s="41">
        <f t="shared" si="8"/>
        <v>0</v>
      </c>
      <c r="F29" s="26" t="e">
        <f t="shared" si="0"/>
        <v>#DIV/0!</v>
      </c>
      <c r="G29" s="129"/>
      <c r="H29" s="129"/>
      <c r="I29" s="18"/>
      <c r="J29" s="26"/>
      <c r="K29" s="26"/>
      <c r="L29" s="26" t="e">
        <f t="shared" si="3"/>
        <v>#DIV/0!</v>
      </c>
      <c r="M29" s="26"/>
      <c r="N29" s="26"/>
      <c r="O29" s="26"/>
      <c r="P29" s="26"/>
      <c r="Q29" s="26"/>
      <c r="R29" s="18" t="e">
        <f t="shared" si="5"/>
        <v>#DIV/0!</v>
      </c>
      <c r="S29" s="35">
        <f t="shared" si="6"/>
        <v>0</v>
      </c>
      <c r="T29" s="68"/>
      <c r="U29" s="16"/>
      <c r="V29" s="98"/>
      <c r="W29" s="98"/>
      <c r="X29" s="98"/>
      <c r="Y29" s="98"/>
      <c r="AA29" s="30"/>
    </row>
    <row r="30" spans="1:27" ht="24" customHeight="1">
      <c r="A30" s="2">
        <v>22</v>
      </c>
      <c r="B30" s="23" t="s">
        <v>3</v>
      </c>
      <c r="C30" s="41"/>
      <c r="D30" s="41">
        <f t="shared" si="7"/>
        <v>0</v>
      </c>
      <c r="E30" s="41">
        <f t="shared" si="8"/>
        <v>0</v>
      </c>
      <c r="F30" s="26"/>
      <c r="G30" s="26"/>
      <c r="H30" s="26"/>
      <c r="I30" s="26" t="e">
        <f t="shared" si="1"/>
        <v>#DIV/0!</v>
      </c>
      <c r="J30" s="26"/>
      <c r="K30" s="26"/>
      <c r="L30" s="26" t="e">
        <f t="shared" si="3"/>
        <v>#DIV/0!</v>
      </c>
      <c r="M30" s="26"/>
      <c r="N30" s="26"/>
      <c r="O30" s="26"/>
      <c r="P30" s="26"/>
      <c r="Q30" s="26"/>
      <c r="R30" s="18" t="e">
        <f t="shared" si="5"/>
        <v>#DIV/0!</v>
      </c>
      <c r="S30" s="35">
        <f t="shared" si="6"/>
        <v>0</v>
      </c>
      <c r="T30" s="35">
        <f t="shared" si="6"/>
        <v>0</v>
      </c>
      <c r="U30" s="16">
        <f t="shared" si="2"/>
        <v>0</v>
      </c>
      <c r="V30" s="98"/>
      <c r="W30" s="98"/>
      <c r="X30" s="98"/>
      <c r="Y30" s="98"/>
      <c r="AA30" s="30"/>
    </row>
    <row r="31" spans="1:27" ht="24" customHeight="1">
      <c r="A31" s="2">
        <v>23</v>
      </c>
      <c r="B31" s="25" t="s">
        <v>4</v>
      </c>
      <c r="C31" s="41"/>
      <c r="D31" s="41">
        <f t="shared" si="7"/>
        <v>0</v>
      </c>
      <c r="E31" s="41">
        <f t="shared" si="8"/>
        <v>0</v>
      </c>
      <c r="F31" s="26"/>
      <c r="G31" s="26"/>
      <c r="H31" s="26"/>
      <c r="I31" s="26" t="e">
        <f t="shared" si="1"/>
        <v>#DIV/0!</v>
      </c>
      <c r="J31" s="26"/>
      <c r="K31" s="26"/>
      <c r="L31" s="26" t="e">
        <f t="shared" si="3"/>
        <v>#DIV/0!</v>
      </c>
      <c r="M31" s="26"/>
      <c r="N31" s="26"/>
      <c r="O31" s="26"/>
      <c r="P31" s="26"/>
      <c r="Q31" s="26"/>
      <c r="R31" s="18" t="e">
        <f t="shared" si="5"/>
        <v>#DIV/0!</v>
      </c>
      <c r="S31" s="35">
        <f t="shared" si="6"/>
        <v>0</v>
      </c>
      <c r="T31" s="35">
        <f t="shared" si="6"/>
        <v>0</v>
      </c>
      <c r="U31" s="16">
        <f t="shared" si="2"/>
        <v>0</v>
      </c>
      <c r="V31" s="98"/>
      <c r="W31" s="98"/>
      <c r="X31" s="98"/>
      <c r="Y31" s="98"/>
      <c r="AA31" s="30"/>
    </row>
    <row r="32" spans="1:27" ht="24" customHeight="1">
      <c r="A32" s="2">
        <v>24</v>
      </c>
      <c r="B32" s="25" t="s">
        <v>5</v>
      </c>
      <c r="C32" s="41"/>
      <c r="D32" s="41">
        <f t="shared" si="7"/>
        <v>0</v>
      </c>
      <c r="E32" s="41">
        <f t="shared" si="8"/>
        <v>0</v>
      </c>
      <c r="F32" s="26"/>
      <c r="G32" s="26"/>
      <c r="H32" s="26"/>
      <c r="I32" s="26" t="e">
        <f t="shared" si="1"/>
        <v>#DIV/0!</v>
      </c>
      <c r="J32" s="26"/>
      <c r="K32" s="26"/>
      <c r="L32" s="26" t="e">
        <f t="shared" si="3"/>
        <v>#DIV/0!</v>
      </c>
      <c r="M32" s="26"/>
      <c r="N32" s="26"/>
      <c r="O32" s="26"/>
      <c r="P32" s="26"/>
      <c r="Q32" s="26"/>
      <c r="R32" s="18" t="e">
        <f t="shared" si="5"/>
        <v>#DIV/0!</v>
      </c>
      <c r="S32" s="35">
        <f t="shared" si="6"/>
        <v>0</v>
      </c>
      <c r="T32" s="35">
        <f t="shared" si="6"/>
        <v>0</v>
      </c>
      <c r="U32" s="16">
        <f t="shared" si="2"/>
        <v>0</v>
      </c>
      <c r="V32" s="98"/>
      <c r="W32" s="98"/>
      <c r="X32" s="98"/>
      <c r="Y32" s="98"/>
      <c r="AA32" s="30"/>
    </row>
    <row r="33" spans="1:27" ht="24" customHeight="1">
      <c r="A33" s="2">
        <v>25</v>
      </c>
      <c r="B33" s="25" t="s">
        <v>12</v>
      </c>
      <c r="C33" s="41"/>
      <c r="D33" s="41">
        <f t="shared" si="7"/>
        <v>0</v>
      </c>
      <c r="E33" s="41">
        <f t="shared" si="8"/>
        <v>0</v>
      </c>
      <c r="F33" s="26"/>
      <c r="G33" s="26"/>
      <c r="H33" s="26"/>
      <c r="I33" s="26" t="e">
        <f t="shared" si="1"/>
        <v>#DIV/0!</v>
      </c>
      <c r="J33" s="26"/>
      <c r="K33" s="26"/>
      <c r="L33" s="26" t="e">
        <f t="shared" si="3"/>
        <v>#DIV/0!</v>
      </c>
      <c r="M33" s="26"/>
      <c r="N33" s="26"/>
      <c r="O33" s="26"/>
      <c r="P33" s="26"/>
      <c r="Q33" s="26"/>
      <c r="R33" s="18" t="e">
        <f t="shared" si="5"/>
        <v>#DIV/0!</v>
      </c>
      <c r="S33" s="35">
        <f t="shared" si="6"/>
        <v>0</v>
      </c>
      <c r="T33" s="86"/>
      <c r="U33" s="16">
        <f t="shared" si="2"/>
        <v>0</v>
      </c>
      <c r="V33" s="98"/>
      <c r="W33" s="98"/>
      <c r="X33" s="98"/>
      <c r="Y33" s="98"/>
      <c r="AA33" s="30"/>
    </row>
    <row r="34" spans="1:27" ht="24" customHeight="1">
      <c r="A34" s="2"/>
      <c r="B34" s="25" t="s">
        <v>42</v>
      </c>
      <c r="C34" s="41">
        <v>646.1</v>
      </c>
      <c r="D34" s="41">
        <f t="shared" si="7"/>
        <v>544.4</v>
      </c>
      <c r="E34" s="41">
        <f t="shared" si="8"/>
        <v>224</v>
      </c>
      <c r="F34" s="92">
        <f>E34/D34*100</f>
        <v>41.146216017634096</v>
      </c>
      <c r="G34" s="18">
        <v>1021.3</v>
      </c>
      <c r="H34" s="18">
        <v>1482.3</v>
      </c>
      <c r="I34" s="18">
        <f t="shared" si="1"/>
        <v>145.1385489082542</v>
      </c>
      <c r="J34" s="18">
        <v>169.7</v>
      </c>
      <c r="K34" s="18">
        <v>0</v>
      </c>
      <c r="L34" s="18">
        <f t="shared" si="3"/>
        <v>0</v>
      </c>
      <c r="M34" s="18">
        <v>178.7</v>
      </c>
      <c r="N34" s="18">
        <v>0</v>
      </c>
      <c r="O34" s="18">
        <f>N34/M34*100</f>
        <v>0</v>
      </c>
      <c r="P34" s="18">
        <v>196</v>
      </c>
      <c r="Q34" s="18">
        <v>224</v>
      </c>
      <c r="R34" s="18">
        <f>Q34/P34*100</f>
        <v>114.28571428571428</v>
      </c>
      <c r="S34" s="17">
        <f t="shared" si="6"/>
        <v>320.4</v>
      </c>
      <c r="T34" s="68">
        <f>G34-H34</f>
        <v>-461</v>
      </c>
      <c r="U34" s="16">
        <f t="shared" si="2"/>
        <v>185.10000000000014</v>
      </c>
      <c r="V34" s="98"/>
      <c r="W34" s="98"/>
      <c r="X34" s="98"/>
      <c r="Y34" s="98"/>
      <c r="AA34" s="30"/>
    </row>
    <row r="35" spans="1:27" ht="24.75" customHeight="1">
      <c r="A35" s="36"/>
      <c r="B35" s="25" t="s">
        <v>47</v>
      </c>
      <c r="C35" s="41">
        <v>0</v>
      </c>
      <c r="D35" s="41">
        <f t="shared" si="7"/>
        <v>0</v>
      </c>
      <c r="E35" s="41">
        <f t="shared" si="8"/>
        <v>0</v>
      </c>
      <c r="F35" s="26"/>
      <c r="G35" s="26"/>
      <c r="H35" s="26"/>
      <c r="I35" s="26" t="e">
        <f t="shared" si="1"/>
        <v>#DIV/0!</v>
      </c>
      <c r="J35" s="26"/>
      <c r="K35" s="26"/>
      <c r="L35" s="26" t="e">
        <f t="shared" si="3"/>
        <v>#DIV/0!</v>
      </c>
      <c r="M35" s="26"/>
      <c r="N35" s="26"/>
      <c r="O35" s="26"/>
      <c r="P35" s="26"/>
      <c r="Q35" s="26"/>
      <c r="R35" s="18" t="e">
        <f t="shared" si="5"/>
        <v>#DIV/0!</v>
      </c>
      <c r="S35" s="35">
        <f t="shared" si="6"/>
        <v>0</v>
      </c>
      <c r="T35" s="104">
        <f t="shared" si="6"/>
        <v>0</v>
      </c>
      <c r="U35" s="16">
        <f t="shared" si="2"/>
        <v>0</v>
      </c>
      <c r="V35" s="98"/>
      <c r="W35" s="98"/>
      <c r="X35" s="98"/>
      <c r="Y35" s="98"/>
      <c r="AA35" s="30"/>
    </row>
    <row r="36" spans="1:27" ht="35.25" customHeight="1">
      <c r="A36" s="2">
        <v>26</v>
      </c>
      <c r="B36" s="25" t="s">
        <v>106</v>
      </c>
      <c r="C36" s="41">
        <v>169.9</v>
      </c>
      <c r="D36" s="41">
        <f t="shared" si="7"/>
        <v>200.1</v>
      </c>
      <c r="E36" s="41">
        <f t="shared" si="8"/>
        <v>117.19999999999999</v>
      </c>
      <c r="F36" s="92">
        <f>E36/D36*100</f>
        <v>58.57071464267866</v>
      </c>
      <c r="G36" s="18">
        <v>616.4</v>
      </c>
      <c r="H36" s="18">
        <v>682.8</v>
      </c>
      <c r="I36" s="18">
        <f t="shared" si="1"/>
        <v>110.77222582738482</v>
      </c>
      <c r="J36" s="18">
        <v>51.6</v>
      </c>
      <c r="K36" s="18">
        <v>8.9</v>
      </c>
      <c r="L36" s="18">
        <f t="shared" si="3"/>
        <v>17.248062015503876</v>
      </c>
      <c r="M36" s="18">
        <v>62</v>
      </c>
      <c r="N36" s="18">
        <v>22</v>
      </c>
      <c r="O36" s="18">
        <f aca="true" t="shared" si="10" ref="O36:O46">N36/M36*100</f>
        <v>35.483870967741936</v>
      </c>
      <c r="P36" s="18">
        <v>86.5</v>
      </c>
      <c r="Q36" s="18">
        <v>86.3</v>
      </c>
      <c r="R36" s="18">
        <f t="shared" si="5"/>
        <v>99.76878612716763</v>
      </c>
      <c r="S36" s="17">
        <f t="shared" si="6"/>
        <v>82.9</v>
      </c>
      <c r="T36" s="68">
        <f aca="true" t="shared" si="11" ref="T36:T43">G36-H36</f>
        <v>-66.39999999999998</v>
      </c>
      <c r="U36" s="16">
        <f t="shared" si="2"/>
        <v>103.5</v>
      </c>
      <c r="V36" s="98"/>
      <c r="W36" s="98"/>
      <c r="X36" s="98"/>
      <c r="Y36" s="98"/>
      <c r="AA36" s="30"/>
    </row>
    <row r="37" spans="1:27" ht="24" customHeight="1">
      <c r="A37" s="2">
        <v>27</v>
      </c>
      <c r="B37" s="23" t="s">
        <v>30</v>
      </c>
      <c r="C37" s="41">
        <v>1.9</v>
      </c>
      <c r="D37" s="41">
        <f t="shared" si="7"/>
        <v>3.3000000000000003</v>
      </c>
      <c r="E37" s="41">
        <f t="shared" si="8"/>
        <v>2.7</v>
      </c>
      <c r="F37" s="92">
        <f t="shared" si="0"/>
        <v>81.81818181818181</v>
      </c>
      <c r="G37" s="18">
        <v>2.2</v>
      </c>
      <c r="H37" s="18">
        <v>3.5</v>
      </c>
      <c r="I37" s="18">
        <f t="shared" si="1"/>
        <v>159.0909090909091</v>
      </c>
      <c r="J37" s="18">
        <v>1.1</v>
      </c>
      <c r="K37" s="18">
        <v>0</v>
      </c>
      <c r="L37" s="18">
        <f t="shared" si="3"/>
        <v>0</v>
      </c>
      <c r="M37" s="18">
        <v>1.1</v>
      </c>
      <c r="N37" s="18">
        <v>1.6</v>
      </c>
      <c r="O37" s="18">
        <f t="shared" si="10"/>
        <v>145.45454545454547</v>
      </c>
      <c r="P37" s="18">
        <v>1.1</v>
      </c>
      <c r="Q37" s="18">
        <v>1.1</v>
      </c>
      <c r="R37" s="18">
        <f t="shared" si="5"/>
        <v>100</v>
      </c>
      <c r="S37" s="17">
        <f t="shared" si="6"/>
        <v>0.6000000000000001</v>
      </c>
      <c r="T37" s="68">
        <f t="shared" si="11"/>
        <v>-1.2999999999999998</v>
      </c>
      <c r="U37" s="16">
        <f t="shared" si="2"/>
        <v>0.5999999999999996</v>
      </c>
      <c r="V37" s="98"/>
      <c r="W37" s="98"/>
      <c r="X37" s="98"/>
      <c r="Y37" s="98"/>
      <c r="AA37" s="30"/>
    </row>
    <row r="38" spans="1:27" ht="24" customHeight="1">
      <c r="A38" s="2">
        <v>28</v>
      </c>
      <c r="B38" s="25" t="s">
        <v>31</v>
      </c>
      <c r="C38" s="41">
        <v>303.1</v>
      </c>
      <c r="D38" s="41">
        <f t="shared" si="7"/>
        <v>534.6999999999999</v>
      </c>
      <c r="E38" s="41">
        <f t="shared" si="8"/>
        <v>441.5</v>
      </c>
      <c r="F38" s="92">
        <f>E38/D38*100</f>
        <v>82.56966523284086</v>
      </c>
      <c r="G38" s="18">
        <v>1334.9</v>
      </c>
      <c r="H38" s="18">
        <v>1273.5</v>
      </c>
      <c r="I38" s="18">
        <f t="shared" si="1"/>
        <v>95.4004045246835</v>
      </c>
      <c r="J38" s="18">
        <v>159.6</v>
      </c>
      <c r="K38" s="18">
        <v>103.2</v>
      </c>
      <c r="L38" s="18">
        <f t="shared" si="3"/>
        <v>64.66165413533835</v>
      </c>
      <c r="M38" s="18">
        <v>179.7</v>
      </c>
      <c r="N38" s="18">
        <v>159.2</v>
      </c>
      <c r="O38" s="18">
        <f t="shared" si="10"/>
        <v>88.5920979410128</v>
      </c>
      <c r="P38" s="18">
        <v>195.4</v>
      </c>
      <c r="Q38" s="18">
        <v>179.1</v>
      </c>
      <c r="R38" s="18">
        <f t="shared" si="5"/>
        <v>91.65813715455475</v>
      </c>
      <c r="S38" s="17">
        <f t="shared" si="6"/>
        <v>93.19999999999993</v>
      </c>
      <c r="T38" s="68">
        <f t="shared" si="11"/>
        <v>61.40000000000009</v>
      </c>
      <c r="U38" s="16">
        <f t="shared" si="2"/>
        <v>364.5</v>
      </c>
      <c r="V38" s="98">
        <f>U38+субсидии!U38</f>
        <v>2812.6000000000004</v>
      </c>
      <c r="W38" s="98"/>
      <c r="X38" s="98"/>
      <c r="Y38" s="98"/>
      <c r="AA38" s="30"/>
    </row>
    <row r="39" spans="1:27" ht="24" customHeight="1">
      <c r="A39" s="2">
        <v>29</v>
      </c>
      <c r="B39" s="25" t="s">
        <v>32</v>
      </c>
      <c r="C39" s="41">
        <v>530.4</v>
      </c>
      <c r="D39" s="41">
        <f t="shared" si="7"/>
        <v>724.7</v>
      </c>
      <c r="E39" s="41">
        <f t="shared" si="8"/>
        <v>435</v>
      </c>
      <c r="F39" s="92">
        <f t="shared" si="0"/>
        <v>60.024837863943695</v>
      </c>
      <c r="G39" s="18">
        <v>1507.7</v>
      </c>
      <c r="H39" s="18">
        <v>1834.6</v>
      </c>
      <c r="I39" s="18">
        <f t="shared" si="1"/>
        <v>121.6820322345294</v>
      </c>
      <c r="J39" s="18">
        <v>183.9</v>
      </c>
      <c r="K39" s="18">
        <v>0</v>
      </c>
      <c r="L39" s="18">
        <f t="shared" si="3"/>
        <v>0</v>
      </c>
      <c r="M39" s="18">
        <v>235.7</v>
      </c>
      <c r="N39" s="18">
        <v>199.3</v>
      </c>
      <c r="O39" s="18">
        <f t="shared" si="10"/>
        <v>84.5566397963513</v>
      </c>
      <c r="P39" s="18">
        <v>305.1</v>
      </c>
      <c r="Q39" s="18">
        <v>235.7</v>
      </c>
      <c r="R39" s="18">
        <f t="shared" si="5"/>
        <v>77.25335955424451</v>
      </c>
      <c r="S39" s="17">
        <f t="shared" si="6"/>
        <v>289.70000000000005</v>
      </c>
      <c r="T39" s="68">
        <f t="shared" si="11"/>
        <v>-326.89999999999986</v>
      </c>
      <c r="U39" s="16">
        <f t="shared" si="2"/>
        <v>203.5</v>
      </c>
      <c r="V39" s="98"/>
      <c r="W39" s="98"/>
      <c r="X39" s="98"/>
      <c r="Y39" s="98"/>
      <c r="AA39" s="30"/>
    </row>
    <row r="40" spans="1:27" ht="36.75" customHeight="1">
      <c r="A40" s="2">
        <v>30</v>
      </c>
      <c r="B40" s="25" t="s">
        <v>107</v>
      </c>
      <c r="C40" s="41">
        <v>680</v>
      </c>
      <c r="D40" s="41">
        <f t="shared" si="7"/>
        <v>989.4</v>
      </c>
      <c r="E40" s="41">
        <f t="shared" si="8"/>
        <v>1810</v>
      </c>
      <c r="F40" s="92">
        <f t="shared" si="0"/>
        <v>182.9391550434607</v>
      </c>
      <c r="G40" s="18">
        <v>2660.7</v>
      </c>
      <c r="H40" s="18">
        <v>2804.1</v>
      </c>
      <c r="I40" s="18">
        <f t="shared" si="1"/>
        <v>105.38955913857255</v>
      </c>
      <c r="J40" s="18">
        <v>336</v>
      </c>
      <c r="K40" s="18">
        <v>1179.2</v>
      </c>
      <c r="L40" s="26">
        <f t="shared" si="3"/>
        <v>350.95238095238096</v>
      </c>
      <c r="M40" s="18">
        <v>294.8</v>
      </c>
      <c r="N40" s="18">
        <v>336</v>
      </c>
      <c r="O40" s="18">
        <f t="shared" si="10"/>
        <v>113.97557666214382</v>
      </c>
      <c r="P40" s="18">
        <v>358.6</v>
      </c>
      <c r="Q40" s="18">
        <v>294.8</v>
      </c>
      <c r="R40" s="18">
        <f t="shared" si="5"/>
        <v>82.20858895705521</v>
      </c>
      <c r="S40" s="17">
        <f t="shared" si="6"/>
        <v>-820.6</v>
      </c>
      <c r="T40" s="68">
        <f t="shared" si="11"/>
        <v>-143.4000000000001</v>
      </c>
      <c r="U40" s="16">
        <f t="shared" si="2"/>
        <v>536.5999999999999</v>
      </c>
      <c r="V40" s="98"/>
      <c r="W40" s="98"/>
      <c r="X40" s="98"/>
      <c r="Y40" s="98"/>
      <c r="AA40" s="30"/>
    </row>
    <row r="41" spans="1:27" ht="24" customHeight="1">
      <c r="A41" s="2">
        <v>31</v>
      </c>
      <c r="B41" s="25" t="s">
        <v>33</v>
      </c>
      <c r="C41" s="41">
        <v>1.2</v>
      </c>
      <c r="D41" s="41">
        <f t="shared" si="7"/>
        <v>2.7</v>
      </c>
      <c r="E41" s="41">
        <f t="shared" si="8"/>
        <v>2.7</v>
      </c>
      <c r="F41" s="92">
        <f t="shared" si="0"/>
        <v>100</v>
      </c>
      <c r="G41" s="18">
        <v>0.4</v>
      </c>
      <c r="H41" s="18">
        <v>1.6</v>
      </c>
      <c r="I41" s="18">
        <f t="shared" si="1"/>
        <v>400</v>
      </c>
      <c r="J41" s="18">
        <v>0.9</v>
      </c>
      <c r="K41" s="18">
        <v>0</v>
      </c>
      <c r="L41" s="18">
        <f t="shared" si="3"/>
        <v>0</v>
      </c>
      <c r="M41" s="18">
        <v>0.7</v>
      </c>
      <c r="N41" s="18">
        <v>2</v>
      </c>
      <c r="O41" s="18">
        <f t="shared" si="10"/>
        <v>285.7142857142857</v>
      </c>
      <c r="P41" s="18">
        <v>1.1</v>
      </c>
      <c r="Q41" s="18">
        <v>0.7</v>
      </c>
      <c r="R41" s="18">
        <f t="shared" si="5"/>
        <v>63.636363636363626</v>
      </c>
      <c r="S41" s="17">
        <f t="shared" si="6"/>
        <v>0</v>
      </c>
      <c r="T41" s="68">
        <f t="shared" si="11"/>
        <v>-1.2000000000000002</v>
      </c>
      <c r="U41" s="16">
        <f t="shared" si="2"/>
        <v>0</v>
      </c>
      <c r="V41" s="98"/>
      <c r="W41" s="98"/>
      <c r="X41" s="98"/>
      <c r="Y41" s="98"/>
      <c r="AA41" s="30"/>
    </row>
    <row r="42" spans="1:27" ht="37.5">
      <c r="A42" s="2">
        <v>32</v>
      </c>
      <c r="B42" s="23" t="s">
        <v>34</v>
      </c>
      <c r="C42" s="41">
        <v>312.3</v>
      </c>
      <c r="D42" s="41">
        <f t="shared" si="7"/>
        <v>533.3</v>
      </c>
      <c r="E42" s="41">
        <f t="shared" si="8"/>
        <v>690.6</v>
      </c>
      <c r="F42" s="92">
        <f>E42/D42*100</f>
        <v>129.4955934745922</v>
      </c>
      <c r="G42" s="18">
        <v>1291.1</v>
      </c>
      <c r="H42" s="18">
        <v>1308.8</v>
      </c>
      <c r="I42" s="18">
        <f t="shared" si="1"/>
        <v>101.37092401827898</v>
      </c>
      <c r="J42" s="18">
        <v>122.8</v>
      </c>
      <c r="K42" s="18">
        <v>365.8</v>
      </c>
      <c r="L42" s="18">
        <f t="shared" si="3"/>
        <v>297.8827361563518</v>
      </c>
      <c r="M42" s="18">
        <v>202</v>
      </c>
      <c r="N42" s="18">
        <v>122.8</v>
      </c>
      <c r="O42" s="18">
        <f t="shared" si="10"/>
        <v>60.79207920792079</v>
      </c>
      <c r="P42" s="18">
        <v>208.5</v>
      </c>
      <c r="Q42" s="18">
        <v>202</v>
      </c>
      <c r="R42" s="18">
        <f t="shared" si="5"/>
        <v>96.88249400479616</v>
      </c>
      <c r="S42" s="17">
        <f t="shared" si="6"/>
        <v>-157.30000000000007</v>
      </c>
      <c r="T42" s="68">
        <f t="shared" si="11"/>
        <v>-17.700000000000045</v>
      </c>
      <c r="U42" s="16">
        <f t="shared" si="2"/>
        <v>294.5999999999999</v>
      </c>
      <c r="V42" s="98"/>
      <c r="W42" s="98"/>
      <c r="X42" s="98"/>
      <c r="Y42" s="98"/>
      <c r="AA42" s="30"/>
    </row>
    <row r="43" spans="1:27" ht="24" customHeight="1">
      <c r="A43" s="2">
        <v>33</v>
      </c>
      <c r="B43" s="25" t="s">
        <v>35</v>
      </c>
      <c r="C43" s="41">
        <v>568.8</v>
      </c>
      <c r="D43" s="41">
        <f t="shared" si="7"/>
        <v>583</v>
      </c>
      <c r="E43" s="41">
        <f t="shared" si="8"/>
        <v>286.4</v>
      </c>
      <c r="F43" s="92">
        <f>E43/D43*100</f>
        <v>49.12521440823327</v>
      </c>
      <c r="G43" s="18">
        <v>2007.9</v>
      </c>
      <c r="H43" s="18">
        <v>2122.3</v>
      </c>
      <c r="I43" s="18">
        <f t="shared" si="1"/>
        <v>105.69749489516411</v>
      </c>
      <c r="J43" s="18">
        <v>157.8</v>
      </c>
      <c r="K43" s="18">
        <v>128.8</v>
      </c>
      <c r="L43" s="18">
        <f t="shared" si="3"/>
        <v>81.62230671736376</v>
      </c>
      <c r="M43" s="18">
        <v>189.6</v>
      </c>
      <c r="N43" s="18">
        <v>0</v>
      </c>
      <c r="O43" s="18">
        <f t="shared" si="10"/>
        <v>0</v>
      </c>
      <c r="P43" s="18">
        <v>235.6</v>
      </c>
      <c r="Q43" s="18">
        <v>157.6</v>
      </c>
      <c r="R43" s="18">
        <f t="shared" si="5"/>
        <v>66.893039049236</v>
      </c>
      <c r="S43" s="17">
        <f t="shared" si="6"/>
        <v>296.6</v>
      </c>
      <c r="T43" s="68">
        <f t="shared" si="11"/>
        <v>-114.40000000000009</v>
      </c>
      <c r="U43" s="16">
        <f t="shared" si="2"/>
        <v>454.39999999999964</v>
      </c>
      <c r="V43" s="98"/>
      <c r="W43" s="98"/>
      <c r="X43" s="98"/>
      <c r="Y43" s="98"/>
      <c r="AA43" s="30"/>
    </row>
    <row r="44" spans="1:34" s="7" customFormat="1" ht="24.75" customHeight="1">
      <c r="A44" s="6">
        <v>34</v>
      </c>
      <c r="B44" s="6" t="s">
        <v>6</v>
      </c>
      <c r="C44" s="42">
        <f>C45+C46</f>
        <v>16757.3</v>
      </c>
      <c r="D44" s="42">
        <f>D45+D46</f>
        <v>37963.4</v>
      </c>
      <c r="E44" s="42">
        <f>E45+E46</f>
        <v>412</v>
      </c>
      <c r="F44" s="40">
        <f t="shared" si="0"/>
        <v>1.0852557990064116</v>
      </c>
      <c r="G44" s="16">
        <f>G45+G46</f>
        <v>83092.1</v>
      </c>
      <c r="H44" s="16">
        <f>H45+H46</f>
        <v>71491.4</v>
      </c>
      <c r="I44" s="17">
        <f>H44/G44*100</f>
        <v>86.03874495890703</v>
      </c>
      <c r="J44" s="16">
        <f>J45+J46</f>
        <v>11203.8</v>
      </c>
      <c r="K44" s="16">
        <f>K45+K46</f>
        <v>52.1</v>
      </c>
      <c r="L44" s="17">
        <f t="shared" si="3"/>
        <v>0.465020796515468</v>
      </c>
      <c r="M44" s="16">
        <f>M45+M46</f>
        <v>13063.7</v>
      </c>
      <c r="N44" s="16">
        <f>N45+N46</f>
        <v>168.9</v>
      </c>
      <c r="O44" s="17">
        <f t="shared" si="10"/>
        <v>1.2928955808844356</v>
      </c>
      <c r="P44" s="16">
        <f>P45+P46</f>
        <v>13695.9</v>
      </c>
      <c r="Q44" s="16">
        <f>Q45+Q46</f>
        <v>191</v>
      </c>
      <c r="R44" s="17">
        <f t="shared" si="5"/>
        <v>1.394577939383319</v>
      </c>
      <c r="S44" s="106">
        <f>S45+S46</f>
        <v>37551.4</v>
      </c>
      <c r="T44" s="59">
        <f>SUMIF(T45:T47,"&gt;0",T45:T47)</f>
        <v>11817</v>
      </c>
      <c r="U44" s="59">
        <f>SUMIF(U45:U47,"&gt;0",U45:U47)</f>
        <v>28358</v>
      </c>
      <c r="V44" s="96">
        <f>V45+V46</f>
        <v>-36345.2</v>
      </c>
      <c r="W44" s="96">
        <f>W45+W46</f>
        <v>0</v>
      </c>
      <c r="X44" s="96"/>
      <c r="Y44" s="97"/>
      <c r="Z44" s="56"/>
      <c r="AA44" s="30"/>
      <c r="AB44" s="56"/>
      <c r="AC44" s="56"/>
      <c r="AD44" s="56"/>
      <c r="AE44" s="56"/>
      <c r="AF44" s="56"/>
      <c r="AG44" s="56"/>
      <c r="AH44" s="56"/>
    </row>
    <row r="45" spans="1:34" s="7" customFormat="1" ht="24.75" customHeight="1">
      <c r="A45" s="6"/>
      <c r="B45" s="23" t="s">
        <v>36</v>
      </c>
      <c r="C45" s="41">
        <f>25821-9358</f>
        <v>16463</v>
      </c>
      <c r="D45" s="41">
        <f t="shared" si="7"/>
        <v>37419</v>
      </c>
      <c r="E45" s="41">
        <f t="shared" si="8"/>
        <v>11</v>
      </c>
      <c r="F45" s="92">
        <f t="shared" si="0"/>
        <v>0.02939683048718565</v>
      </c>
      <c r="G45" s="18">
        <v>81801</v>
      </c>
      <c r="H45" s="18">
        <f>-9358+79342</f>
        <v>69984</v>
      </c>
      <c r="I45" s="18">
        <f t="shared" si="1"/>
        <v>85.55396633292992</v>
      </c>
      <c r="J45" s="18">
        <v>11037</v>
      </c>
      <c r="K45" s="18">
        <v>0</v>
      </c>
      <c r="L45" s="18">
        <f t="shared" si="3"/>
        <v>0</v>
      </c>
      <c r="M45" s="18">
        <v>12878</v>
      </c>
      <c r="N45" s="18">
        <v>4</v>
      </c>
      <c r="O45" s="18">
        <f t="shared" si="10"/>
        <v>0.031060723714862556</v>
      </c>
      <c r="P45" s="18">
        <v>13504</v>
      </c>
      <c r="Q45" s="18">
        <v>7</v>
      </c>
      <c r="R45" s="18">
        <f t="shared" si="5"/>
        <v>0.05183649289099526</v>
      </c>
      <c r="S45" s="17">
        <f t="shared" si="6"/>
        <v>37408</v>
      </c>
      <c r="T45" s="86">
        <f>G45-H45</f>
        <v>11817</v>
      </c>
      <c r="U45" s="24">
        <f>C45+G45-H45</f>
        <v>28280</v>
      </c>
      <c r="V45" s="98">
        <v>-36293</v>
      </c>
      <c r="W45" s="98">
        <v>0</v>
      </c>
      <c r="X45" s="98"/>
      <c r="Y45" s="98"/>
      <c r="Z45" s="56"/>
      <c r="AA45" s="30"/>
      <c r="AB45" s="56"/>
      <c r="AC45" s="56"/>
      <c r="AD45" s="56"/>
      <c r="AE45" s="56"/>
      <c r="AF45" s="56"/>
      <c r="AG45" s="56"/>
      <c r="AH45" s="56"/>
    </row>
    <row r="46" spans="1:34" s="7" customFormat="1" ht="24.75" customHeight="1">
      <c r="A46" s="6"/>
      <c r="B46" s="23" t="s">
        <v>37</v>
      </c>
      <c r="C46" s="41">
        <v>294.3</v>
      </c>
      <c r="D46" s="41">
        <f t="shared" si="7"/>
        <v>544.4</v>
      </c>
      <c r="E46" s="41">
        <f t="shared" si="8"/>
        <v>401</v>
      </c>
      <c r="F46" s="92">
        <f t="shared" si="0"/>
        <v>73.65907421013961</v>
      </c>
      <c r="G46" s="18">
        <v>1291.1</v>
      </c>
      <c r="H46" s="18">
        <v>1507.4</v>
      </c>
      <c r="I46" s="18">
        <f>H46/G46*100</f>
        <v>116.75315622337543</v>
      </c>
      <c r="J46" s="18">
        <v>166.8</v>
      </c>
      <c r="K46" s="18">
        <v>52.1</v>
      </c>
      <c r="L46" s="18">
        <f t="shared" si="3"/>
        <v>31.235011990407674</v>
      </c>
      <c r="M46" s="18">
        <v>185.7</v>
      </c>
      <c r="N46" s="18">
        <v>164.9</v>
      </c>
      <c r="O46" s="18">
        <f t="shared" si="10"/>
        <v>88.79913839526118</v>
      </c>
      <c r="P46" s="18">
        <v>191.9</v>
      </c>
      <c r="Q46" s="18">
        <v>184</v>
      </c>
      <c r="R46" s="18">
        <f t="shared" si="5"/>
        <v>95.8832725377801</v>
      </c>
      <c r="S46" s="17">
        <f t="shared" si="6"/>
        <v>143.39999999999998</v>
      </c>
      <c r="T46" s="86">
        <f>G46-H46</f>
        <v>-216.30000000000018</v>
      </c>
      <c r="U46" s="24">
        <f>C46+G46-H46</f>
        <v>77.99999999999977</v>
      </c>
      <c r="V46" s="98">
        <v>-52.2</v>
      </c>
      <c r="W46" s="98">
        <v>0</v>
      </c>
      <c r="X46" s="98"/>
      <c r="Y46" s="98"/>
      <c r="Z46" s="56"/>
      <c r="AA46" s="30"/>
      <c r="AB46" s="56"/>
      <c r="AC46" s="56"/>
      <c r="AD46" s="56"/>
      <c r="AE46" s="56"/>
      <c r="AF46" s="56"/>
      <c r="AG46" s="56"/>
      <c r="AH46" s="56"/>
    </row>
    <row r="47" spans="1:34" s="7" customFormat="1" ht="24.75" customHeight="1">
      <c r="A47" s="6"/>
      <c r="B47" s="23" t="s">
        <v>47</v>
      </c>
      <c r="C47" s="41">
        <v>0</v>
      </c>
      <c r="D47" s="41">
        <f t="shared" si="7"/>
        <v>0</v>
      </c>
      <c r="E47" s="41">
        <f t="shared" si="8"/>
        <v>0</v>
      </c>
      <c r="F47" s="26">
        <v>0</v>
      </c>
      <c r="G47" s="26"/>
      <c r="H47" s="26"/>
      <c r="I47" s="26" t="e">
        <f>H47/G47*100</f>
        <v>#DIV/0!</v>
      </c>
      <c r="J47" s="26"/>
      <c r="K47" s="26"/>
      <c r="L47" s="26" t="e">
        <f t="shared" si="3"/>
        <v>#DIV/0!</v>
      </c>
      <c r="M47" s="26"/>
      <c r="N47" s="26"/>
      <c r="O47" s="26"/>
      <c r="P47" s="26"/>
      <c r="Q47" s="26"/>
      <c r="R47" s="26"/>
      <c r="S47" s="35">
        <f t="shared" si="6"/>
        <v>0</v>
      </c>
      <c r="T47" s="104">
        <f t="shared" si="6"/>
        <v>0</v>
      </c>
      <c r="U47" s="80">
        <f>C47+G47-H47</f>
        <v>0</v>
      </c>
      <c r="V47" s="98"/>
      <c r="W47" s="98"/>
      <c r="X47" s="98"/>
      <c r="Y47" s="98"/>
      <c r="Z47" s="56"/>
      <c r="AA47" s="30"/>
      <c r="AB47" s="56"/>
      <c r="AC47" s="56"/>
      <c r="AD47" s="56"/>
      <c r="AE47" s="56"/>
      <c r="AF47" s="56"/>
      <c r="AG47" s="56"/>
      <c r="AH47" s="56"/>
    </row>
    <row r="48" spans="1:34" s="7" customFormat="1" ht="24.75" customHeight="1">
      <c r="A48" s="6"/>
      <c r="B48" s="6" t="s">
        <v>8</v>
      </c>
      <c r="C48" s="42">
        <f>C8+C44</f>
        <v>21090.4</v>
      </c>
      <c r="D48" s="42">
        <f>D8+D44</f>
        <v>43668.9</v>
      </c>
      <c r="E48" s="42">
        <f>E8+E44</f>
        <v>5868</v>
      </c>
      <c r="F48" s="40">
        <f t="shared" si="0"/>
        <v>13.437480678469116</v>
      </c>
      <c r="G48" s="16">
        <f>G8+G44</f>
        <v>96947.6</v>
      </c>
      <c r="H48" s="16">
        <f>H8+H44</f>
        <v>86967.59999999999</v>
      </c>
      <c r="I48" s="17">
        <f>H48/G48*100</f>
        <v>89.7057792044362</v>
      </c>
      <c r="J48" s="16">
        <f>J8+J44</f>
        <v>12844.5</v>
      </c>
      <c r="K48" s="16">
        <f>K8+K44</f>
        <v>2511.1000000000004</v>
      </c>
      <c r="L48" s="17">
        <f t="shared" si="3"/>
        <v>19.550001946358368</v>
      </c>
      <c r="M48" s="16">
        <f>M8+M44</f>
        <v>14904.900000000001</v>
      </c>
      <c r="N48" s="16">
        <f>N8+N44</f>
        <v>1550.3</v>
      </c>
      <c r="O48" s="17">
        <f>N48/M48*100</f>
        <v>10.40127743225382</v>
      </c>
      <c r="P48" s="16">
        <f>P8+P44</f>
        <v>15919.5</v>
      </c>
      <c r="Q48" s="16">
        <f>Q8+Q44</f>
        <v>1806.6</v>
      </c>
      <c r="R48" s="17">
        <f>Q48/P48*100</f>
        <v>11.3483463676623</v>
      </c>
      <c r="S48" s="106">
        <f>S44</f>
        <v>37551.4</v>
      </c>
      <c r="T48" s="108">
        <f>T44+T8</f>
        <v>11878.4</v>
      </c>
      <c r="U48" s="59">
        <f>U8+U44</f>
        <v>31073.4</v>
      </c>
      <c r="V48" s="141">
        <f>V44+V8</f>
        <v>-38027.299999999996</v>
      </c>
      <c r="W48" s="108">
        <f>W44+W8</f>
        <v>-3</v>
      </c>
      <c r="X48" s="99"/>
      <c r="Y48" s="97"/>
      <c r="Z48" s="56"/>
      <c r="AA48" s="30"/>
      <c r="AB48" s="56"/>
      <c r="AC48" s="56"/>
      <c r="AD48" s="56"/>
      <c r="AE48" s="56"/>
      <c r="AF48" s="56"/>
      <c r="AG48" s="56"/>
      <c r="AH48" s="56"/>
    </row>
    <row r="49" spans="1:34" s="7" customFormat="1" ht="24.75" customHeight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87"/>
      <c r="U49" s="21"/>
      <c r="V49" s="97"/>
      <c r="W49" s="97"/>
      <c r="X49" s="100"/>
      <c r="Y49" s="100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s="7" customFormat="1" ht="18.75" customHeight="1" hidden="1">
      <c r="A50" s="6"/>
      <c r="B50" s="55" t="s">
        <v>48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87"/>
      <c r="U50" s="30"/>
      <c r="V50" s="97"/>
      <c r="W50" s="97"/>
      <c r="X50" s="100"/>
      <c r="Y50" s="100"/>
      <c r="Z50" s="56"/>
      <c r="AA50" s="56"/>
      <c r="AB50" s="56"/>
      <c r="AC50" s="56"/>
      <c r="AD50" s="56"/>
      <c r="AE50" s="56"/>
      <c r="AF50" s="56"/>
      <c r="AG50" s="56"/>
      <c r="AH50" s="56"/>
    </row>
    <row r="51" spans="1:34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  <c r="V51" s="97"/>
      <c r="W51" s="97"/>
      <c r="X51" s="100"/>
      <c r="Y51" s="100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s="7" customFormat="1" ht="18.75" customHeight="1" hidden="1">
      <c r="A52" s="6"/>
      <c r="B52" s="55" t="s">
        <v>49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  <c r="V52" s="97"/>
      <c r="W52" s="97"/>
      <c r="X52" s="100"/>
      <c r="Y52" s="100"/>
      <c r="Z52" s="56"/>
      <c r="AA52" s="56"/>
      <c r="AB52" s="56"/>
      <c r="AC52" s="56"/>
      <c r="AD52" s="56"/>
      <c r="AE52" s="56"/>
      <c r="AF52" s="56"/>
      <c r="AG52" s="56"/>
      <c r="AH52" s="56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23"/>
    </row>
    <row r="54" spans="1:34" ht="73.5" customHeight="1" hidden="1">
      <c r="A54" s="110" t="s">
        <v>116</v>
      </c>
      <c r="B54" s="110"/>
      <c r="C54" s="110"/>
      <c r="D54" s="110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111</v>
      </c>
      <c r="V54" s="9"/>
      <c r="W54" s="9"/>
      <c r="X54" s="9"/>
      <c r="Y54" s="9"/>
      <c r="Z54" s="9"/>
      <c r="AA54" s="64"/>
      <c r="AB54" s="76" t="s">
        <v>111</v>
      </c>
      <c r="AC54" s="1"/>
      <c r="AD54" s="1"/>
      <c r="AE54" s="1"/>
      <c r="AF54" s="1"/>
      <c r="AG54" s="1"/>
      <c r="AH54" s="1"/>
    </row>
    <row r="55" spans="1:23" s="131" customFormat="1" ht="42" customHeight="1">
      <c r="A55" s="138"/>
      <c r="B55" s="236" t="s">
        <v>119</v>
      </c>
      <c r="C55" s="236"/>
      <c r="D55" s="236"/>
      <c r="E55" s="236"/>
      <c r="F55" s="236"/>
      <c r="G55" s="135"/>
      <c r="H55" s="135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4"/>
      <c r="T55" s="136"/>
      <c r="U55" s="139" t="s">
        <v>118</v>
      </c>
      <c r="V55" s="137"/>
      <c r="W55" s="133"/>
    </row>
    <row r="56" spans="3:21" ht="40.5" customHeight="1">
      <c r="C56" s="44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89"/>
      <c r="U56" s="12"/>
    </row>
    <row r="57" spans="3:21" ht="18.75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2" ht="18.75">
      <c r="B58" s="1" t="s">
        <v>43</v>
      </c>
      <c r="C58" s="45">
        <v>27</v>
      </c>
      <c r="D58" s="33">
        <v>8.7</v>
      </c>
      <c r="E58" s="33">
        <v>0</v>
      </c>
      <c r="F58" s="54"/>
      <c r="G58" s="54">
        <v>97.6</v>
      </c>
      <c r="H58" s="54">
        <v>107.2</v>
      </c>
      <c r="I58" s="54"/>
      <c r="J58" s="54">
        <v>13.7</v>
      </c>
      <c r="K58" s="54">
        <v>25.7</v>
      </c>
      <c r="L58" s="54"/>
      <c r="M58" s="54"/>
      <c r="N58" s="54"/>
      <c r="O58" s="54"/>
      <c r="P58" s="54"/>
      <c r="Q58" s="54"/>
      <c r="R58" s="54"/>
      <c r="S58" s="54"/>
      <c r="T58" s="86"/>
      <c r="U58" s="94">
        <f>C58+G58-H58</f>
        <v>17.39999999999999</v>
      </c>
      <c r="V58" s="101"/>
    </row>
    <row r="59" spans="2:22" ht="18.75">
      <c r="B59" s="1" t="s">
        <v>44</v>
      </c>
      <c r="C59" s="43">
        <v>52.2</v>
      </c>
      <c r="D59" s="9">
        <v>19.4</v>
      </c>
      <c r="E59" s="9">
        <v>0</v>
      </c>
      <c r="F59" s="9"/>
      <c r="G59" s="9">
        <v>256.6</v>
      </c>
      <c r="H59" s="9">
        <v>288.5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94">
        <f>C59+G59-H59</f>
        <v>20.30000000000001</v>
      </c>
      <c r="V59" s="101"/>
    </row>
    <row r="60" spans="3:21" ht="18.75">
      <c r="C60" s="43"/>
      <c r="D60" s="9">
        <f>SUM(D58:D59)</f>
        <v>28.099999999999998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18.75">
      <c r="C61" s="43"/>
      <c r="D61" s="9">
        <f>D60/D36*100</f>
        <v>14.042978510744627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45</v>
      </c>
      <c r="C62" s="43">
        <f>C10+C18+C21+C27+C37+C39+C41</f>
        <v>652.5</v>
      </c>
      <c r="D62" s="9">
        <f>D10+D18+D21+D27+D37+D39+D41</f>
        <v>887.2</v>
      </c>
      <c r="E62" s="9">
        <f>E10+E18+E21+E27+E37+E39+E41</f>
        <v>550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293.4</v>
      </c>
    </row>
    <row r="63" spans="2:21" ht="18.75">
      <c r="B63" s="1" t="s">
        <v>46</v>
      </c>
      <c r="C63" s="43">
        <f>C12+C14+C15+C17+C19+C20+C26</f>
        <v>65.2</v>
      </c>
      <c r="D63" s="9">
        <f>D12+D14+D15+D17+D19+D20+D26</f>
        <v>62.4</v>
      </c>
      <c r="E63" s="9">
        <f>E12+E14+E15+E17+E19+E20+E26</f>
        <v>60.5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48.79999999999998</v>
      </c>
    </row>
    <row r="64" spans="3:21" ht="18.75">
      <c r="C64" s="44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90"/>
      <c r="U64" s="12"/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90"/>
      <c r="U65" s="12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90"/>
      <c r="U66" s="12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90"/>
      <c r="U67" s="12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90"/>
      <c r="U68" s="12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90"/>
      <c r="U69" s="12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90"/>
      <c r="U70" s="12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90"/>
      <c r="U71" s="12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90"/>
      <c r="U72" s="12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90"/>
      <c r="U73" s="12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90"/>
      <c r="U74" s="12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90"/>
      <c r="U75" s="12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90"/>
      <c r="U76" s="12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90"/>
      <c r="U77" s="12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90"/>
      <c r="U78" s="12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90"/>
      <c r="U79" s="12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90"/>
      <c r="U80" s="12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90"/>
      <c r="U81" s="12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90"/>
      <c r="U82" s="12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90"/>
      <c r="U83" s="12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90"/>
      <c r="U84" s="12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90"/>
      <c r="U85" s="12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90"/>
      <c r="U86" s="12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90"/>
      <c r="U87" s="12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90"/>
      <c r="U88" s="12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90"/>
      <c r="U89" s="12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90"/>
      <c r="U90" s="12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90"/>
      <c r="U91" s="12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90"/>
      <c r="U92" s="12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90"/>
      <c r="U93" s="12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90"/>
      <c r="U94" s="12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90"/>
      <c r="U95" s="12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90"/>
      <c r="U96" s="12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90"/>
      <c r="U97" s="12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90"/>
      <c r="U98" s="12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90"/>
      <c r="U99" s="12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90"/>
      <c r="U100" s="12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90"/>
      <c r="U101" s="12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90"/>
      <c r="U102" s="12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90"/>
      <c r="U103" s="12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90"/>
      <c r="U104" s="12"/>
    </row>
    <row r="105" ht="18.75">
      <c r="T105" s="90"/>
    </row>
  </sheetData>
  <sheetProtection/>
  <mergeCells count="19">
    <mergeCell ref="B55:F55"/>
    <mergeCell ref="C5:C6"/>
    <mergeCell ref="T5:T7"/>
    <mergeCell ref="D5:F5"/>
    <mergeCell ref="V5:V7"/>
    <mergeCell ref="G1:U1"/>
    <mergeCell ref="B2:U2"/>
    <mergeCell ref="B3:U3"/>
    <mergeCell ref="B4:F4"/>
    <mergeCell ref="G5:I5"/>
    <mergeCell ref="Y5:Y7"/>
    <mergeCell ref="J5:L5"/>
    <mergeCell ref="S5:S7"/>
    <mergeCell ref="X5:X7"/>
    <mergeCell ref="M5:O5"/>
    <mergeCell ref="X2:X4"/>
    <mergeCell ref="W5:W7"/>
    <mergeCell ref="U5:U7"/>
    <mergeCell ref="P5:R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5"/>
  <sheetViews>
    <sheetView view="pageBreakPreview" zoomScale="75" zoomScaleNormal="75" zoomScaleSheetLayoutView="75" zoomScalePageLayoutView="0" workbookViewId="0" topLeftCell="A2">
      <pane xSplit="2" ySplit="7" topLeftCell="C45" activePane="bottomRight" state="frozen"/>
      <selection pane="topLeft" activeCell="T8" sqref="T8"/>
      <selection pane="topRight" activeCell="T8" sqref="T8"/>
      <selection pane="bottomLeft" activeCell="T8" sqref="T8"/>
      <selection pane="bottomRight" activeCell="B55" sqref="B55:F55"/>
    </sheetView>
  </sheetViews>
  <sheetFormatPr defaultColWidth="7.875" defaultRowHeight="12.75"/>
  <cols>
    <col min="1" max="1" width="6.125" style="1" customWidth="1"/>
    <col min="2" max="2" width="46.125" style="1" customWidth="1"/>
    <col min="3" max="3" width="16.875" style="39" customWidth="1"/>
    <col min="4" max="5" width="14.75390625" style="1" hidden="1" customWidth="1"/>
    <col min="6" max="6" width="11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2.00390625" style="1" hidden="1" customWidth="1"/>
    <col min="16" max="17" width="14.75390625" style="1" hidden="1" customWidth="1"/>
    <col min="18" max="18" width="12.00390625" style="1" hidden="1" customWidth="1"/>
    <col min="19" max="19" width="20.75390625" style="74" hidden="1" customWidth="1"/>
    <col min="20" max="20" width="22.625" style="74" customWidth="1"/>
    <col min="21" max="21" width="22.875" style="74" customWidth="1"/>
    <col min="22" max="22" width="11.875" style="1" customWidth="1"/>
    <col min="23" max="16384" width="7.875" style="1" customWidth="1"/>
  </cols>
  <sheetData>
    <row r="1" spans="7:21" ht="18.75"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2:21" ht="18.75">
      <c r="B2" s="232" t="s">
        <v>104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</row>
    <row r="3" spans="2:21" ht="18.75">
      <c r="B3" s="212" t="s">
        <v>122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2:21" ht="18.75">
      <c r="B4" s="213"/>
      <c r="C4" s="213"/>
      <c r="D4" s="213"/>
      <c r="E4" s="213"/>
      <c r="F4" s="213"/>
      <c r="U4" s="74" t="s">
        <v>54</v>
      </c>
    </row>
    <row r="5" spans="1:21" ht="42.75" customHeight="1">
      <c r="A5" s="3"/>
      <c r="B5" s="3"/>
      <c r="C5" s="214" t="s">
        <v>1</v>
      </c>
      <c r="D5" s="219" t="s">
        <v>110</v>
      </c>
      <c r="E5" s="220"/>
      <c r="F5" s="221"/>
      <c r="G5" s="216" t="s">
        <v>121</v>
      </c>
      <c r="H5" s="217"/>
      <c r="I5" s="218"/>
      <c r="J5" s="188" t="s">
        <v>109</v>
      </c>
      <c r="K5" s="189"/>
      <c r="L5" s="190"/>
      <c r="M5" s="188" t="s">
        <v>112</v>
      </c>
      <c r="N5" s="189"/>
      <c r="O5" s="190"/>
      <c r="P5" s="188" t="s">
        <v>113</v>
      </c>
      <c r="Q5" s="189"/>
      <c r="R5" s="190"/>
      <c r="S5" s="197" t="s">
        <v>114</v>
      </c>
      <c r="T5" s="197" t="s">
        <v>123</v>
      </c>
      <c r="U5" s="191" t="s">
        <v>124</v>
      </c>
    </row>
    <row r="6" spans="1:21" ht="18.75">
      <c r="A6" s="5" t="s">
        <v>39</v>
      </c>
      <c r="B6" s="4" t="s">
        <v>2</v>
      </c>
      <c r="C6" s="215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8"/>
      <c r="T6" s="198"/>
      <c r="U6" s="192"/>
    </row>
    <row r="7" spans="1:21" ht="32.25" customHeight="1">
      <c r="A7" s="22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9"/>
      <c r="T7" s="199"/>
      <c r="U7" s="193"/>
    </row>
    <row r="8" spans="1:23" s="7" customFormat="1" ht="36" customHeight="1">
      <c r="A8" s="13"/>
      <c r="B8" s="8" t="s">
        <v>7</v>
      </c>
      <c r="C8" s="40">
        <f>SUM(C9:C43)</f>
        <v>7163</v>
      </c>
      <c r="D8" s="40">
        <f>SUM(D9:D43)</f>
        <v>8222.8</v>
      </c>
      <c r="E8" s="40">
        <f>SUM(E9:E43)</f>
        <v>8138.3</v>
      </c>
      <c r="F8" s="40">
        <f aca="true" t="shared" si="0" ref="F8:F48">E8/D8*100</f>
        <v>98.97236950916964</v>
      </c>
      <c r="G8" s="17">
        <f>SUM(G9:G43)</f>
        <v>55000.700000000004</v>
      </c>
      <c r="H8" s="17">
        <f>SUM(H9:H43)</f>
        <v>44232.50000000001</v>
      </c>
      <c r="I8" s="17">
        <f aca="true" t="shared" si="1" ref="I8:I48">H8/G8*100</f>
        <v>80.4217037237708</v>
      </c>
      <c r="J8" s="17">
        <f>SUM(J9:J43)</f>
        <v>1877.1</v>
      </c>
      <c r="K8" s="17">
        <f>SUM(K9:K43)</f>
        <v>3782.1</v>
      </c>
      <c r="L8" s="17">
        <f aca="true" t="shared" si="2" ref="L8:L46">K8/J8*100</f>
        <v>201.486335304459</v>
      </c>
      <c r="M8" s="17">
        <f>SUM(M9:M43)</f>
        <v>2461.6</v>
      </c>
      <c r="N8" s="17">
        <f>SUM(N9:N43)</f>
        <v>1816.9</v>
      </c>
      <c r="O8" s="17">
        <f aca="true" t="shared" si="3" ref="O8:O47">N8/M8*100</f>
        <v>73.80971725706857</v>
      </c>
      <c r="P8" s="17">
        <f>SUM(P9:P43)</f>
        <v>3884.1</v>
      </c>
      <c r="Q8" s="17">
        <f>SUM(Q9:Q43)</f>
        <v>2539.2999999999997</v>
      </c>
      <c r="R8" s="17">
        <f>Q8/P8*100</f>
        <v>65.37679256455806</v>
      </c>
      <c r="S8" s="108">
        <f>SUM(S9:S43)</f>
        <v>84.50000000000017</v>
      </c>
      <c r="T8" s="105">
        <f>SUMIF(T9:T43,"&gt;0",T9:T43)</f>
        <v>11315.5</v>
      </c>
      <c r="U8" s="59">
        <f>SUMIF(U9:U43,"&gt;0",U9:U43)</f>
        <v>17931.2</v>
      </c>
      <c r="V8" s="105">
        <f>SUMIF(T9:T43,"&lt;0",T9:T43)</f>
        <v>-547.3</v>
      </c>
      <c r="W8" s="105">
        <f>SUMIF(U9:U43,"&lt;0",U9:U43)</f>
        <v>0</v>
      </c>
    </row>
    <row r="9" spans="1:21" ht="36.75" customHeight="1">
      <c r="A9" s="2">
        <v>1</v>
      </c>
      <c r="B9" s="23" t="s">
        <v>13</v>
      </c>
      <c r="C9" s="41">
        <v>798.5</v>
      </c>
      <c r="D9" s="41">
        <f>J9+M9+P9</f>
        <v>585.8</v>
      </c>
      <c r="E9" s="41">
        <f>K9+N9+Q9</f>
        <v>444.8</v>
      </c>
      <c r="F9" s="92">
        <f t="shared" si="0"/>
        <v>75.93035165585525</v>
      </c>
      <c r="G9" s="18">
        <v>4166.3</v>
      </c>
      <c r="H9" s="18">
        <v>3625.1</v>
      </c>
      <c r="I9" s="18">
        <f t="shared" si="1"/>
        <v>87.01005688500587</v>
      </c>
      <c r="J9" s="18">
        <v>149.6</v>
      </c>
      <c r="K9" s="18">
        <v>17.4</v>
      </c>
      <c r="L9" s="18">
        <f t="shared" si="2"/>
        <v>11.631016042780749</v>
      </c>
      <c r="M9" s="18">
        <v>277.8</v>
      </c>
      <c r="N9" s="18">
        <v>149.6</v>
      </c>
      <c r="O9" s="18">
        <f t="shared" si="3"/>
        <v>53.85169186465082</v>
      </c>
      <c r="P9" s="18">
        <v>158.4</v>
      </c>
      <c r="Q9" s="18">
        <v>277.8</v>
      </c>
      <c r="R9" s="18">
        <f>Q9/P9*100</f>
        <v>175.37878787878788</v>
      </c>
      <c r="S9" s="68">
        <f>D9-E9</f>
        <v>140.99999999999994</v>
      </c>
      <c r="T9" s="68">
        <f>G9-H9</f>
        <v>541.2000000000003</v>
      </c>
      <c r="U9" s="91">
        <f aca="true" t="shared" si="4" ref="U9:U43">C9+G9-H9</f>
        <v>1339.7000000000003</v>
      </c>
    </row>
    <row r="10" spans="1:21" s="52" customFormat="1" ht="41.25" customHeight="1">
      <c r="A10" s="2">
        <v>2</v>
      </c>
      <c r="B10" s="53" t="s">
        <v>38</v>
      </c>
      <c r="C10" s="41">
        <v>17.3</v>
      </c>
      <c r="D10" s="41">
        <f>J10+M10+P10</f>
        <v>31.2</v>
      </c>
      <c r="E10" s="41">
        <f>K10+N10+Q10</f>
        <v>0</v>
      </c>
      <c r="F10" s="92">
        <f t="shared" si="0"/>
        <v>0</v>
      </c>
      <c r="G10" s="18">
        <v>72.1</v>
      </c>
      <c r="H10" s="18">
        <v>76.3</v>
      </c>
      <c r="I10" s="18">
        <f t="shared" si="1"/>
        <v>105.8252427184466</v>
      </c>
      <c r="J10" s="18">
        <v>4.8</v>
      </c>
      <c r="K10" s="18">
        <v>0</v>
      </c>
      <c r="L10" s="18">
        <f t="shared" si="2"/>
        <v>0</v>
      </c>
      <c r="M10" s="18">
        <v>10</v>
      </c>
      <c r="N10" s="18">
        <v>0</v>
      </c>
      <c r="O10" s="18">
        <f t="shared" si="3"/>
        <v>0</v>
      </c>
      <c r="P10" s="18">
        <v>16.4</v>
      </c>
      <c r="Q10" s="18">
        <v>0</v>
      </c>
      <c r="R10" s="18">
        <f>Q10/P10*100</f>
        <v>0</v>
      </c>
      <c r="S10" s="68">
        <f aca="true" t="shared" si="5" ref="S10:T47">D10-E10</f>
        <v>31.2</v>
      </c>
      <c r="T10" s="68">
        <f>G10-H10</f>
        <v>-4.200000000000003</v>
      </c>
      <c r="U10" s="91">
        <f t="shared" si="4"/>
        <v>13.099999999999994</v>
      </c>
    </row>
    <row r="11" spans="1:21" ht="35.25" customHeight="1">
      <c r="A11" s="2">
        <v>3</v>
      </c>
      <c r="B11" s="25" t="s">
        <v>108</v>
      </c>
      <c r="C11" s="41"/>
      <c r="D11" s="34">
        <f>J11</f>
        <v>0</v>
      </c>
      <c r="E11" s="34">
        <f>K11</f>
        <v>0</v>
      </c>
      <c r="F11" s="26" t="e">
        <f t="shared" si="0"/>
        <v>#DIV/0!</v>
      </c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18" t="e">
        <f t="shared" si="3"/>
        <v>#DIV/0!</v>
      </c>
      <c r="P11" s="18"/>
      <c r="Q11" s="18"/>
      <c r="R11" s="18"/>
      <c r="S11" s="104">
        <f t="shared" si="5"/>
        <v>0</v>
      </c>
      <c r="T11" s="104" t="e">
        <f t="shared" si="5"/>
        <v>#DIV/0!</v>
      </c>
      <c r="U11" s="114">
        <f t="shared" si="4"/>
        <v>0</v>
      </c>
    </row>
    <row r="12" spans="1:21" ht="24" customHeight="1">
      <c r="A12" s="2">
        <v>4</v>
      </c>
      <c r="B12" s="23" t="s">
        <v>14</v>
      </c>
      <c r="C12" s="41">
        <v>0</v>
      </c>
      <c r="D12" s="41">
        <f>J12+M12+P12</f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26" t="e">
        <f t="shared" si="2"/>
        <v>#DIV/0!</v>
      </c>
      <c r="M12" s="26"/>
      <c r="N12" s="26"/>
      <c r="O12" s="18" t="e">
        <f t="shared" si="3"/>
        <v>#DIV/0!</v>
      </c>
      <c r="P12" s="18"/>
      <c r="Q12" s="18"/>
      <c r="R12" s="18"/>
      <c r="S12" s="68">
        <f t="shared" si="5"/>
        <v>0</v>
      </c>
      <c r="T12" s="104" t="e">
        <f t="shared" si="5"/>
        <v>#DIV/0!</v>
      </c>
      <c r="U12" s="91">
        <f t="shared" si="4"/>
        <v>0</v>
      </c>
    </row>
    <row r="13" spans="1:21" ht="24" customHeight="1">
      <c r="A13" s="2">
        <v>5</v>
      </c>
      <c r="B13" s="23" t="s">
        <v>15</v>
      </c>
      <c r="C13" s="41">
        <v>552.5</v>
      </c>
      <c r="D13" s="41">
        <f aca="true" t="shared" si="6" ref="D13:D47">J13+M13+P13</f>
        <v>270.1</v>
      </c>
      <c r="E13" s="41">
        <f aca="true" t="shared" si="7" ref="E13:E47">K13+N13+Q13</f>
        <v>132.5</v>
      </c>
      <c r="F13" s="92">
        <f t="shared" si="0"/>
        <v>49.05590522028878</v>
      </c>
      <c r="G13" s="18">
        <v>1462.4</v>
      </c>
      <c r="H13" s="18">
        <v>606.7</v>
      </c>
      <c r="I13" s="18">
        <f t="shared" si="1"/>
        <v>41.48659737417943</v>
      </c>
      <c r="J13" s="18">
        <v>50.1</v>
      </c>
      <c r="K13" s="18">
        <v>0</v>
      </c>
      <c r="L13" s="18">
        <f t="shared" si="2"/>
        <v>0</v>
      </c>
      <c r="M13" s="18">
        <v>82.4</v>
      </c>
      <c r="N13" s="18">
        <v>50.1</v>
      </c>
      <c r="O13" s="18">
        <f t="shared" si="3"/>
        <v>60.80097087378641</v>
      </c>
      <c r="P13" s="18">
        <v>137.6</v>
      </c>
      <c r="Q13" s="18">
        <v>82.4</v>
      </c>
      <c r="R13" s="18">
        <f aca="true" t="shared" si="8" ref="R13:R20">Q13/P13*100</f>
        <v>59.88372093023256</v>
      </c>
      <c r="S13" s="68">
        <f t="shared" si="5"/>
        <v>137.60000000000002</v>
      </c>
      <c r="T13" s="68">
        <f>G13-H13</f>
        <v>855.7</v>
      </c>
      <c r="U13" s="91">
        <f t="shared" si="4"/>
        <v>1408.2</v>
      </c>
    </row>
    <row r="14" spans="1:21" ht="24" customHeight="1">
      <c r="A14" s="2">
        <v>6</v>
      </c>
      <c r="B14" s="23" t="s">
        <v>16</v>
      </c>
      <c r="C14" s="41">
        <v>6.9</v>
      </c>
      <c r="D14" s="41">
        <f t="shared" si="6"/>
        <v>4.6</v>
      </c>
      <c r="E14" s="41">
        <f t="shared" si="7"/>
        <v>3.4</v>
      </c>
      <c r="F14" s="92">
        <f t="shared" si="0"/>
        <v>73.91304347826087</v>
      </c>
      <c r="G14" s="18">
        <v>40.5</v>
      </c>
      <c r="H14" s="18">
        <v>40.9</v>
      </c>
      <c r="I14" s="18">
        <f t="shared" si="1"/>
        <v>100.98765432098764</v>
      </c>
      <c r="J14" s="18">
        <v>1.5</v>
      </c>
      <c r="K14" s="18">
        <v>1.9</v>
      </c>
      <c r="L14" s="18">
        <f t="shared" si="2"/>
        <v>126.66666666666666</v>
      </c>
      <c r="M14" s="18">
        <v>1.3</v>
      </c>
      <c r="N14" s="18">
        <v>1.5</v>
      </c>
      <c r="O14" s="18">
        <f t="shared" si="3"/>
        <v>115.38461538461537</v>
      </c>
      <c r="P14" s="18">
        <v>1.8</v>
      </c>
      <c r="Q14" s="18">
        <v>0</v>
      </c>
      <c r="R14" s="18">
        <f t="shared" si="8"/>
        <v>0</v>
      </c>
      <c r="S14" s="68">
        <f t="shared" si="5"/>
        <v>1.1999999999999997</v>
      </c>
      <c r="T14" s="68">
        <f aca="true" t="shared" si="9" ref="T14:T20">G14-H14</f>
        <v>-0.3999999999999986</v>
      </c>
      <c r="U14" s="91">
        <f t="shared" si="4"/>
        <v>6.5</v>
      </c>
    </row>
    <row r="15" spans="1:21" ht="24" customHeight="1">
      <c r="A15" s="2">
        <v>7</v>
      </c>
      <c r="B15" s="23" t="s">
        <v>17</v>
      </c>
      <c r="C15" s="41"/>
      <c r="D15" s="41">
        <f t="shared" si="6"/>
        <v>0</v>
      </c>
      <c r="E15" s="41">
        <f t="shared" si="7"/>
        <v>0</v>
      </c>
      <c r="F15" s="26" t="e">
        <f t="shared" si="0"/>
        <v>#DIV/0!</v>
      </c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 t="shared" si="3"/>
        <v>#DIV/0!</v>
      </c>
      <c r="P15" s="18"/>
      <c r="Q15" s="18"/>
      <c r="R15" s="18"/>
      <c r="S15" s="68">
        <f t="shared" si="5"/>
        <v>0</v>
      </c>
      <c r="T15" s="68"/>
      <c r="U15" s="91">
        <f t="shared" si="4"/>
        <v>0</v>
      </c>
    </row>
    <row r="16" spans="1:21" ht="24" customHeight="1">
      <c r="A16" s="2">
        <v>8</v>
      </c>
      <c r="B16" s="23" t="s">
        <v>18</v>
      </c>
      <c r="C16" s="41">
        <v>78.5</v>
      </c>
      <c r="D16" s="41">
        <f t="shared" si="6"/>
        <v>111</v>
      </c>
      <c r="E16" s="41">
        <f t="shared" si="7"/>
        <v>239.3</v>
      </c>
      <c r="F16" s="107">
        <f t="shared" si="0"/>
        <v>215.5855855855856</v>
      </c>
      <c r="G16" s="18">
        <v>758.4</v>
      </c>
      <c r="H16" s="18">
        <v>684.1</v>
      </c>
      <c r="I16" s="126">
        <f t="shared" si="1"/>
        <v>90.20305907172997</v>
      </c>
      <c r="J16" s="18">
        <v>9</v>
      </c>
      <c r="K16" s="18">
        <v>182.9</v>
      </c>
      <c r="L16" s="18">
        <f t="shared" si="2"/>
        <v>2032.2222222222222</v>
      </c>
      <c r="M16" s="18">
        <v>47.4</v>
      </c>
      <c r="N16" s="18">
        <v>9</v>
      </c>
      <c r="O16" s="18">
        <f t="shared" si="3"/>
        <v>18.9873417721519</v>
      </c>
      <c r="P16" s="18">
        <v>54.6</v>
      </c>
      <c r="Q16" s="18">
        <v>47.4</v>
      </c>
      <c r="R16" s="18">
        <f t="shared" si="8"/>
        <v>86.8131868131868</v>
      </c>
      <c r="S16" s="68">
        <f t="shared" si="5"/>
        <v>-128.3</v>
      </c>
      <c r="T16" s="68">
        <f t="shared" si="9"/>
        <v>74.29999999999995</v>
      </c>
      <c r="U16" s="91">
        <f t="shared" si="4"/>
        <v>152.79999999999995</v>
      </c>
    </row>
    <row r="17" spans="1:21" ht="24" customHeight="1">
      <c r="A17" s="2">
        <v>9</v>
      </c>
      <c r="B17" s="23" t="s">
        <v>19</v>
      </c>
      <c r="C17" s="41"/>
      <c r="D17" s="41">
        <f t="shared" si="6"/>
        <v>0</v>
      </c>
      <c r="E17" s="41">
        <f t="shared" si="7"/>
        <v>0</v>
      </c>
      <c r="F17" s="26" t="e">
        <f t="shared" si="0"/>
        <v>#DIV/0!</v>
      </c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18" t="e">
        <f t="shared" si="3"/>
        <v>#DIV/0!</v>
      </c>
      <c r="P17" s="18"/>
      <c r="Q17" s="18"/>
      <c r="R17" s="18"/>
      <c r="S17" s="68">
        <f t="shared" si="5"/>
        <v>0</v>
      </c>
      <c r="T17" s="68"/>
      <c r="U17" s="91">
        <f t="shared" si="4"/>
        <v>0</v>
      </c>
    </row>
    <row r="18" spans="1:21" s="38" customFormat="1" ht="24" customHeight="1">
      <c r="A18" s="2">
        <v>10</v>
      </c>
      <c r="B18" s="25" t="s">
        <v>20</v>
      </c>
      <c r="C18" s="41">
        <v>34.6</v>
      </c>
      <c r="D18" s="41">
        <f t="shared" si="6"/>
        <v>30.700000000000003</v>
      </c>
      <c r="E18" s="41">
        <f t="shared" si="7"/>
        <v>23.700000000000003</v>
      </c>
      <c r="F18" s="92">
        <f t="shared" si="0"/>
        <v>77.19869706840392</v>
      </c>
      <c r="G18" s="18">
        <v>212.6</v>
      </c>
      <c r="H18" s="18">
        <v>182.5</v>
      </c>
      <c r="I18" s="18">
        <f t="shared" si="1"/>
        <v>85.84195672624647</v>
      </c>
      <c r="J18" s="18">
        <v>6.2</v>
      </c>
      <c r="K18" s="18">
        <v>0</v>
      </c>
      <c r="L18" s="18">
        <f t="shared" si="2"/>
        <v>0</v>
      </c>
      <c r="M18" s="18">
        <v>13.9</v>
      </c>
      <c r="N18" s="18">
        <v>9.8</v>
      </c>
      <c r="O18" s="18">
        <f t="shared" si="3"/>
        <v>70.50359712230217</v>
      </c>
      <c r="P18" s="18">
        <v>10.6</v>
      </c>
      <c r="Q18" s="18">
        <v>13.9</v>
      </c>
      <c r="R18" s="18">
        <f t="shared" si="8"/>
        <v>131.13207547169813</v>
      </c>
      <c r="S18" s="68">
        <f t="shared" si="5"/>
        <v>7</v>
      </c>
      <c r="T18" s="68">
        <f t="shared" si="9"/>
        <v>30.099999999999994</v>
      </c>
      <c r="U18" s="91">
        <f t="shared" si="4"/>
        <v>64.69999999999999</v>
      </c>
    </row>
    <row r="19" spans="1:21" ht="24" customHeight="1">
      <c r="A19" s="2">
        <v>11</v>
      </c>
      <c r="B19" s="25" t="s">
        <v>21</v>
      </c>
      <c r="C19" s="41">
        <v>8.2</v>
      </c>
      <c r="D19" s="41">
        <f t="shared" si="6"/>
        <v>12.6</v>
      </c>
      <c r="E19" s="41">
        <f t="shared" si="7"/>
        <v>12.1</v>
      </c>
      <c r="F19" s="92">
        <f t="shared" si="0"/>
        <v>96.03174603174604</v>
      </c>
      <c r="G19" s="18">
        <v>31</v>
      </c>
      <c r="H19" s="18">
        <v>38.3</v>
      </c>
      <c r="I19" s="126">
        <f t="shared" si="1"/>
        <v>123.54838709677418</v>
      </c>
      <c r="J19" s="18">
        <v>4</v>
      </c>
      <c r="K19" s="18">
        <v>3.9</v>
      </c>
      <c r="L19" s="107">
        <f t="shared" si="2"/>
        <v>97.5</v>
      </c>
      <c r="M19" s="18">
        <v>4.1</v>
      </c>
      <c r="N19" s="18">
        <v>4.1</v>
      </c>
      <c r="O19" s="18">
        <f t="shared" si="3"/>
        <v>100</v>
      </c>
      <c r="P19" s="18">
        <v>4.5</v>
      </c>
      <c r="Q19" s="18">
        <v>4.1</v>
      </c>
      <c r="R19" s="18">
        <f t="shared" si="8"/>
        <v>91.1111111111111</v>
      </c>
      <c r="S19" s="68">
        <f t="shared" si="5"/>
        <v>0.5</v>
      </c>
      <c r="T19" s="68">
        <f t="shared" si="9"/>
        <v>-7.299999999999997</v>
      </c>
      <c r="U19" s="91">
        <f t="shared" si="4"/>
        <v>0.9000000000000057</v>
      </c>
    </row>
    <row r="20" spans="1:21" ht="24" customHeight="1">
      <c r="A20" s="2">
        <v>12</v>
      </c>
      <c r="B20" s="23" t="s">
        <v>22</v>
      </c>
      <c r="C20" s="41">
        <v>123.6</v>
      </c>
      <c r="D20" s="41">
        <f t="shared" si="6"/>
        <v>76.5</v>
      </c>
      <c r="E20" s="41">
        <f t="shared" si="7"/>
        <v>71.4</v>
      </c>
      <c r="F20" s="92">
        <f t="shared" si="0"/>
        <v>93.33333333333334</v>
      </c>
      <c r="G20" s="18">
        <v>626.6</v>
      </c>
      <c r="H20" s="18">
        <v>549.3</v>
      </c>
      <c r="I20" s="18">
        <f t="shared" si="1"/>
        <v>87.66358123204596</v>
      </c>
      <c r="J20" s="18">
        <v>23.6</v>
      </c>
      <c r="K20" s="18">
        <f>17.2+6.4</f>
        <v>23.6</v>
      </c>
      <c r="L20" s="18">
        <f t="shared" si="2"/>
        <v>100</v>
      </c>
      <c r="M20" s="18">
        <v>24.1</v>
      </c>
      <c r="N20" s="18">
        <v>23.7</v>
      </c>
      <c r="O20" s="18">
        <f t="shared" si="3"/>
        <v>98.3402489626556</v>
      </c>
      <c r="P20" s="18">
        <v>28.8</v>
      </c>
      <c r="Q20" s="18">
        <v>24.1</v>
      </c>
      <c r="R20" s="18">
        <f t="shared" si="8"/>
        <v>83.68055555555556</v>
      </c>
      <c r="S20" s="68">
        <f t="shared" si="5"/>
        <v>5.099999999999994</v>
      </c>
      <c r="T20" s="68">
        <f t="shared" si="9"/>
        <v>77.30000000000007</v>
      </c>
      <c r="U20" s="91">
        <f t="shared" si="4"/>
        <v>200.9000000000001</v>
      </c>
    </row>
    <row r="21" spans="1:21" s="38" customFormat="1" ht="24" customHeight="1">
      <c r="A21" s="2">
        <v>13</v>
      </c>
      <c r="B21" s="25" t="s">
        <v>23</v>
      </c>
      <c r="C21" s="41">
        <v>0</v>
      </c>
      <c r="D21" s="41">
        <f t="shared" si="6"/>
        <v>0</v>
      </c>
      <c r="E21" s="41">
        <f t="shared" si="7"/>
        <v>0</v>
      </c>
      <c r="F21" s="35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 t="e">
        <f t="shared" si="2"/>
        <v>#DIV/0!</v>
      </c>
      <c r="M21" s="26"/>
      <c r="N21" s="26"/>
      <c r="O21" s="18" t="e">
        <f t="shared" si="3"/>
        <v>#DIV/0!</v>
      </c>
      <c r="P21" s="18"/>
      <c r="Q21" s="18"/>
      <c r="R21" s="18"/>
      <c r="S21" s="104">
        <f t="shared" si="5"/>
        <v>0</v>
      </c>
      <c r="T21" s="68"/>
      <c r="U21" s="114">
        <f t="shared" si="4"/>
        <v>0</v>
      </c>
    </row>
    <row r="22" spans="1:21" ht="24" customHeight="1">
      <c r="A22" s="2">
        <v>14</v>
      </c>
      <c r="B22" s="25" t="s">
        <v>24</v>
      </c>
      <c r="C22" s="41"/>
      <c r="D22" s="41">
        <f t="shared" si="6"/>
        <v>0</v>
      </c>
      <c r="E22" s="41">
        <f t="shared" si="7"/>
        <v>0</v>
      </c>
      <c r="F22" s="35" t="e">
        <f t="shared" si="0"/>
        <v>#DIV/0!</v>
      </c>
      <c r="G22" s="26"/>
      <c r="H22" s="26"/>
      <c r="I22" s="26" t="e">
        <f t="shared" si="1"/>
        <v>#DIV/0!</v>
      </c>
      <c r="J22" s="26"/>
      <c r="K22" s="26"/>
      <c r="L22" s="26" t="e">
        <f t="shared" si="2"/>
        <v>#DIV/0!</v>
      </c>
      <c r="M22" s="26"/>
      <c r="N22" s="26"/>
      <c r="O22" s="18" t="e">
        <f t="shared" si="3"/>
        <v>#DIV/0!</v>
      </c>
      <c r="P22" s="18"/>
      <c r="Q22" s="18"/>
      <c r="R22" s="18"/>
      <c r="S22" s="68">
        <f t="shared" si="5"/>
        <v>0</v>
      </c>
      <c r="T22" s="68"/>
      <c r="U22" s="91">
        <f t="shared" si="4"/>
        <v>0</v>
      </c>
    </row>
    <row r="23" spans="1:21" ht="36.75" customHeight="1">
      <c r="A23" s="2">
        <v>15</v>
      </c>
      <c r="B23" s="25" t="s">
        <v>25</v>
      </c>
      <c r="C23" s="41"/>
      <c r="D23" s="41">
        <f t="shared" si="6"/>
        <v>0</v>
      </c>
      <c r="E23" s="41">
        <f t="shared" si="7"/>
        <v>0</v>
      </c>
      <c r="F23" s="35" t="e">
        <f t="shared" si="0"/>
        <v>#DIV/0!</v>
      </c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18" t="e">
        <f t="shared" si="3"/>
        <v>#DIV/0!</v>
      </c>
      <c r="P23" s="18"/>
      <c r="Q23" s="18"/>
      <c r="R23" s="18"/>
      <c r="S23" s="68">
        <f t="shared" si="5"/>
        <v>0</v>
      </c>
      <c r="T23" s="104" t="e">
        <f>E23-F23</f>
        <v>#DIV/0!</v>
      </c>
      <c r="U23" s="91">
        <f t="shared" si="4"/>
        <v>0</v>
      </c>
    </row>
    <row r="24" spans="1:21" ht="24" customHeight="1">
      <c r="A24" s="2">
        <v>16</v>
      </c>
      <c r="B24" s="25" t="s">
        <v>9</v>
      </c>
      <c r="C24" s="41"/>
      <c r="D24" s="41">
        <f t="shared" si="6"/>
        <v>0</v>
      </c>
      <c r="E24" s="41">
        <f t="shared" si="7"/>
        <v>0</v>
      </c>
      <c r="F24" s="35" t="e">
        <f t="shared" si="0"/>
        <v>#DIV/0!</v>
      </c>
      <c r="G24" s="26"/>
      <c r="H24" s="26"/>
      <c r="I24" s="26" t="e">
        <f t="shared" si="1"/>
        <v>#DIV/0!</v>
      </c>
      <c r="J24" s="26"/>
      <c r="K24" s="26"/>
      <c r="L24" s="26" t="e">
        <f t="shared" si="2"/>
        <v>#DIV/0!</v>
      </c>
      <c r="M24" s="26"/>
      <c r="N24" s="26"/>
      <c r="O24" s="18" t="e">
        <f t="shared" si="3"/>
        <v>#DIV/0!</v>
      </c>
      <c r="P24" s="18"/>
      <c r="Q24" s="18"/>
      <c r="R24" s="18"/>
      <c r="S24" s="68">
        <f t="shared" si="5"/>
        <v>0</v>
      </c>
      <c r="T24" s="35" t="e">
        <f t="shared" si="5"/>
        <v>#DIV/0!</v>
      </c>
      <c r="U24" s="91">
        <f t="shared" si="4"/>
        <v>0</v>
      </c>
    </row>
    <row r="25" spans="1:21" ht="36.75" customHeight="1">
      <c r="A25" s="2">
        <v>17</v>
      </c>
      <c r="B25" s="25" t="s">
        <v>26</v>
      </c>
      <c r="C25" s="41">
        <v>560</v>
      </c>
      <c r="D25" s="41">
        <f t="shared" si="6"/>
        <v>1027.2</v>
      </c>
      <c r="E25" s="41">
        <f t="shared" si="7"/>
        <v>1981</v>
      </c>
      <c r="F25" s="92">
        <f t="shared" si="0"/>
        <v>192.8543613707165</v>
      </c>
      <c r="G25" s="18">
        <v>1981.2</v>
      </c>
      <c r="H25" s="18">
        <v>2516</v>
      </c>
      <c r="I25" s="18">
        <f t="shared" si="1"/>
        <v>126.99374116696951</v>
      </c>
      <c r="J25" s="18">
        <v>161.5</v>
      </c>
      <c r="K25" s="18">
        <v>1392.9</v>
      </c>
      <c r="L25" s="18">
        <f t="shared" si="2"/>
        <v>862.4767801857585</v>
      </c>
      <c r="M25" s="18">
        <v>426.6</v>
      </c>
      <c r="N25" s="18">
        <v>161.5</v>
      </c>
      <c r="O25" s="18">
        <f t="shared" si="3"/>
        <v>37.857477730895454</v>
      </c>
      <c r="P25" s="18">
        <v>439.1</v>
      </c>
      <c r="Q25" s="18">
        <v>426.6</v>
      </c>
      <c r="R25" s="18">
        <f>Q25/P25*100</f>
        <v>97.15326804828057</v>
      </c>
      <c r="S25" s="68">
        <f t="shared" si="5"/>
        <v>-953.8</v>
      </c>
      <c r="T25" s="68">
        <f>G25-H25</f>
        <v>-534.8</v>
      </c>
      <c r="U25" s="91">
        <f t="shared" si="4"/>
        <v>25.199999999999818</v>
      </c>
    </row>
    <row r="26" spans="1:21" ht="24" customHeight="1">
      <c r="A26" s="2">
        <v>18</v>
      </c>
      <c r="B26" s="23" t="s">
        <v>27</v>
      </c>
      <c r="C26" s="41"/>
      <c r="D26" s="41">
        <f t="shared" si="6"/>
        <v>0</v>
      </c>
      <c r="E26" s="41">
        <f t="shared" si="7"/>
        <v>0</v>
      </c>
      <c r="F26" s="26" t="e">
        <f t="shared" si="0"/>
        <v>#DIV/0!</v>
      </c>
      <c r="G26" s="26"/>
      <c r="H26" s="26"/>
      <c r="I26" s="26" t="e">
        <f t="shared" si="1"/>
        <v>#DIV/0!</v>
      </c>
      <c r="J26" s="26"/>
      <c r="K26" s="26"/>
      <c r="L26" s="26" t="e">
        <f t="shared" si="2"/>
        <v>#DIV/0!</v>
      </c>
      <c r="M26" s="26"/>
      <c r="N26" s="26"/>
      <c r="O26" s="18" t="e">
        <f t="shared" si="3"/>
        <v>#DIV/0!</v>
      </c>
      <c r="P26" s="18"/>
      <c r="Q26" s="18"/>
      <c r="R26" s="18"/>
      <c r="S26" s="68">
        <f t="shared" si="5"/>
        <v>0</v>
      </c>
      <c r="T26" s="104" t="e">
        <f>E26-F26</f>
        <v>#DIV/0!</v>
      </c>
      <c r="U26" s="91">
        <f t="shared" si="4"/>
        <v>0</v>
      </c>
    </row>
    <row r="27" spans="1:21" s="38" customFormat="1" ht="24" customHeight="1">
      <c r="A27" s="2">
        <v>19</v>
      </c>
      <c r="B27" s="25" t="s">
        <v>28</v>
      </c>
      <c r="C27" s="41">
        <v>23.6</v>
      </c>
      <c r="D27" s="41">
        <f t="shared" si="6"/>
        <v>38.7</v>
      </c>
      <c r="E27" s="41">
        <f t="shared" si="7"/>
        <v>30.8</v>
      </c>
      <c r="F27" s="92">
        <f t="shared" si="0"/>
        <v>79.58656330749353</v>
      </c>
      <c r="G27" s="18">
        <v>178.7</v>
      </c>
      <c r="H27" s="18">
        <v>138.4</v>
      </c>
      <c r="I27" s="18">
        <f t="shared" si="1"/>
        <v>77.44823726916621</v>
      </c>
      <c r="J27" s="18">
        <v>8.2</v>
      </c>
      <c r="K27" s="18">
        <v>0</v>
      </c>
      <c r="L27" s="18">
        <f t="shared" si="2"/>
        <v>0</v>
      </c>
      <c r="M27" s="18">
        <v>18</v>
      </c>
      <c r="N27" s="18">
        <v>12.8</v>
      </c>
      <c r="O27" s="18">
        <f t="shared" si="3"/>
        <v>71.11111111111111</v>
      </c>
      <c r="P27" s="18">
        <v>12.5</v>
      </c>
      <c r="Q27" s="18">
        <v>18</v>
      </c>
      <c r="R27" s="18">
        <f>Q27/P27*100</f>
        <v>144</v>
      </c>
      <c r="S27" s="68">
        <f t="shared" si="5"/>
        <v>7.900000000000002</v>
      </c>
      <c r="T27" s="68">
        <f>G27-H27</f>
        <v>40.29999999999998</v>
      </c>
      <c r="U27" s="91">
        <f t="shared" si="4"/>
        <v>63.89999999999998</v>
      </c>
    </row>
    <row r="28" spans="1:21" ht="36.75" customHeight="1">
      <c r="A28" s="2">
        <v>20</v>
      </c>
      <c r="B28" s="25" t="s">
        <v>105</v>
      </c>
      <c r="C28" s="41">
        <v>333.7</v>
      </c>
      <c r="D28" s="41">
        <f t="shared" si="6"/>
        <v>459.3</v>
      </c>
      <c r="E28" s="41">
        <f t="shared" si="7"/>
        <v>188.7</v>
      </c>
      <c r="F28" s="92">
        <f t="shared" si="0"/>
        <v>41.0842586544742</v>
      </c>
      <c r="G28" s="18">
        <v>2570.3</v>
      </c>
      <c r="H28" s="18">
        <v>2437.1</v>
      </c>
      <c r="I28" s="18">
        <f t="shared" si="1"/>
        <v>94.81772555732792</v>
      </c>
      <c r="J28" s="18">
        <v>93.2</v>
      </c>
      <c r="K28" s="18">
        <v>0</v>
      </c>
      <c r="L28" s="18">
        <f t="shared" si="2"/>
        <v>0</v>
      </c>
      <c r="M28" s="18">
        <v>64</v>
      </c>
      <c r="N28" s="18">
        <v>178.7</v>
      </c>
      <c r="O28" s="18">
        <f t="shared" si="3"/>
        <v>279.21875</v>
      </c>
      <c r="P28" s="18">
        <v>302.1</v>
      </c>
      <c r="Q28" s="18">
        <v>10</v>
      </c>
      <c r="R28" s="18">
        <f>Q28/P28*100</f>
        <v>3.310162197947699</v>
      </c>
      <c r="S28" s="68">
        <f t="shared" si="5"/>
        <v>270.6</v>
      </c>
      <c r="T28" s="68">
        <f>G28-H28</f>
        <v>133.20000000000027</v>
      </c>
      <c r="U28" s="91">
        <f t="shared" si="4"/>
        <v>466.9000000000001</v>
      </c>
    </row>
    <row r="29" spans="1:21" ht="36.75" customHeight="1">
      <c r="A29" s="2">
        <v>21</v>
      </c>
      <c r="B29" s="23" t="s">
        <v>29</v>
      </c>
      <c r="C29" s="41"/>
      <c r="D29" s="41">
        <f t="shared" si="6"/>
        <v>0</v>
      </c>
      <c r="E29" s="41">
        <f t="shared" si="7"/>
        <v>0</v>
      </c>
      <c r="F29" s="35" t="e">
        <f t="shared" si="0"/>
        <v>#DIV/0!</v>
      </c>
      <c r="G29" s="129"/>
      <c r="H29" s="129"/>
      <c r="I29" s="18"/>
      <c r="J29" s="26"/>
      <c r="K29" s="26"/>
      <c r="L29" s="26" t="e">
        <f t="shared" si="2"/>
        <v>#DIV/0!</v>
      </c>
      <c r="M29" s="26"/>
      <c r="N29" s="26"/>
      <c r="O29" s="18" t="e">
        <f t="shared" si="3"/>
        <v>#DIV/0!</v>
      </c>
      <c r="P29" s="18"/>
      <c r="Q29" s="18"/>
      <c r="R29" s="18"/>
      <c r="S29" s="104">
        <f t="shared" si="5"/>
        <v>0</v>
      </c>
      <c r="T29" s="68"/>
      <c r="U29" s="91"/>
    </row>
    <row r="30" spans="1:21" ht="24" customHeight="1">
      <c r="A30" s="2">
        <v>22</v>
      </c>
      <c r="B30" s="23" t="s">
        <v>3</v>
      </c>
      <c r="C30" s="41"/>
      <c r="D30" s="41">
        <f t="shared" si="6"/>
        <v>0</v>
      </c>
      <c r="E30" s="41">
        <f t="shared" si="7"/>
        <v>0</v>
      </c>
      <c r="F30" s="35" t="e">
        <f t="shared" si="0"/>
        <v>#DIV/0!</v>
      </c>
      <c r="G30" s="26"/>
      <c r="H30" s="26"/>
      <c r="I30" s="26" t="e">
        <f t="shared" si="1"/>
        <v>#DIV/0!</v>
      </c>
      <c r="J30" s="26"/>
      <c r="K30" s="26"/>
      <c r="L30" s="26" t="e">
        <f t="shared" si="2"/>
        <v>#DIV/0!</v>
      </c>
      <c r="M30" s="26"/>
      <c r="N30" s="26"/>
      <c r="O30" s="18" t="e">
        <f t="shared" si="3"/>
        <v>#DIV/0!</v>
      </c>
      <c r="P30" s="18"/>
      <c r="Q30" s="18"/>
      <c r="R30" s="18"/>
      <c r="S30" s="68">
        <f t="shared" si="5"/>
        <v>0</v>
      </c>
      <c r="T30" s="35" t="e">
        <f t="shared" si="5"/>
        <v>#DIV/0!</v>
      </c>
      <c r="U30" s="91">
        <f t="shared" si="4"/>
        <v>0</v>
      </c>
    </row>
    <row r="31" spans="1:21" ht="24" customHeight="1">
      <c r="A31" s="2">
        <v>23</v>
      </c>
      <c r="B31" s="25" t="s">
        <v>4</v>
      </c>
      <c r="C31" s="41"/>
      <c r="D31" s="41">
        <f t="shared" si="6"/>
        <v>0</v>
      </c>
      <c r="E31" s="41">
        <f t="shared" si="7"/>
        <v>0</v>
      </c>
      <c r="F31" s="35" t="e">
        <f t="shared" si="0"/>
        <v>#DIV/0!</v>
      </c>
      <c r="G31" s="26"/>
      <c r="H31" s="26"/>
      <c r="I31" s="26" t="e">
        <f t="shared" si="1"/>
        <v>#DIV/0!</v>
      </c>
      <c r="J31" s="26"/>
      <c r="K31" s="26"/>
      <c r="L31" s="26" t="e">
        <f t="shared" si="2"/>
        <v>#DIV/0!</v>
      </c>
      <c r="M31" s="26"/>
      <c r="N31" s="26"/>
      <c r="O31" s="18" t="e">
        <f t="shared" si="3"/>
        <v>#DIV/0!</v>
      </c>
      <c r="P31" s="18"/>
      <c r="Q31" s="18"/>
      <c r="R31" s="18"/>
      <c r="S31" s="68">
        <f t="shared" si="5"/>
        <v>0</v>
      </c>
      <c r="T31" s="35" t="e">
        <f t="shared" si="5"/>
        <v>#DIV/0!</v>
      </c>
      <c r="U31" s="91">
        <f t="shared" si="4"/>
        <v>0</v>
      </c>
    </row>
    <row r="32" spans="1:21" ht="24" customHeight="1">
      <c r="A32" s="2">
        <v>24</v>
      </c>
      <c r="B32" s="25" t="s">
        <v>5</v>
      </c>
      <c r="C32" s="41"/>
      <c r="D32" s="41">
        <f t="shared" si="6"/>
        <v>0</v>
      </c>
      <c r="E32" s="41">
        <f t="shared" si="7"/>
        <v>0</v>
      </c>
      <c r="F32" s="35" t="e">
        <f t="shared" si="0"/>
        <v>#DIV/0!</v>
      </c>
      <c r="G32" s="26"/>
      <c r="H32" s="26"/>
      <c r="I32" s="26" t="e">
        <f t="shared" si="1"/>
        <v>#DIV/0!</v>
      </c>
      <c r="J32" s="26"/>
      <c r="K32" s="26"/>
      <c r="L32" s="26" t="e">
        <f t="shared" si="2"/>
        <v>#DIV/0!</v>
      </c>
      <c r="M32" s="26"/>
      <c r="N32" s="26"/>
      <c r="O32" s="18" t="e">
        <f t="shared" si="3"/>
        <v>#DIV/0!</v>
      </c>
      <c r="P32" s="18"/>
      <c r="Q32" s="18"/>
      <c r="R32" s="18"/>
      <c r="S32" s="68">
        <f t="shared" si="5"/>
        <v>0</v>
      </c>
      <c r="T32" s="35" t="e">
        <f t="shared" si="5"/>
        <v>#DIV/0!</v>
      </c>
      <c r="U32" s="91">
        <f t="shared" si="4"/>
        <v>0</v>
      </c>
    </row>
    <row r="33" spans="1:21" ht="24" customHeight="1">
      <c r="A33" s="2">
        <v>25</v>
      </c>
      <c r="B33" s="25" t="s">
        <v>12</v>
      </c>
      <c r="C33" s="41"/>
      <c r="D33" s="41">
        <f t="shared" si="6"/>
        <v>0</v>
      </c>
      <c r="E33" s="41">
        <f t="shared" si="7"/>
        <v>0</v>
      </c>
      <c r="F33" s="35" t="e">
        <f t="shared" si="0"/>
        <v>#DIV/0!</v>
      </c>
      <c r="G33" s="26"/>
      <c r="H33" s="26"/>
      <c r="I33" s="26" t="e">
        <f t="shared" si="1"/>
        <v>#DIV/0!</v>
      </c>
      <c r="J33" s="26"/>
      <c r="K33" s="26"/>
      <c r="L33" s="26" t="e">
        <f t="shared" si="2"/>
        <v>#DIV/0!</v>
      </c>
      <c r="M33" s="26"/>
      <c r="N33" s="26"/>
      <c r="O33" s="18" t="e">
        <f t="shared" si="3"/>
        <v>#DIV/0!</v>
      </c>
      <c r="P33" s="18"/>
      <c r="Q33" s="18"/>
      <c r="R33" s="18"/>
      <c r="S33" s="68">
        <f t="shared" si="5"/>
        <v>0</v>
      </c>
      <c r="T33" s="86"/>
      <c r="U33" s="91">
        <f t="shared" si="4"/>
        <v>0</v>
      </c>
    </row>
    <row r="34" spans="1:22" ht="24" customHeight="1">
      <c r="A34" s="2"/>
      <c r="B34" s="25" t="s">
        <v>42</v>
      </c>
      <c r="C34" s="41">
        <v>319.1</v>
      </c>
      <c r="D34" s="41">
        <f t="shared" si="6"/>
        <v>324.4</v>
      </c>
      <c r="E34" s="41">
        <f t="shared" si="7"/>
        <v>180.6</v>
      </c>
      <c r="F34" s="92">
        <f t="shared" si="0"/>
        <v>55.67200986436498</v>
      </c>
      <c r="G34" s="18">
        <v>2126.1</v>
      </c>
      <c r="H34" s="18">
        <v>1927</v>
      </c>
      <c r="I34" s="18">
        <f t="shared" si="1"/>
        <v>90.63543577442266</v>
      </c>
      <c r="J34" s="18">
        <v>93.1</v>
      </c>
      <c r="K34" s="18">
        <v>0</v>
      </c>
      <c r="L34" s="18">
        <f t="shared" si="2"/>
        <v>0</v>
      </c>
      <c r="M34" s="18">
        <v>71.1</v>
      </c>
      <c r="N34" s="18">
        <v>0</v>
      </c>
      <c r="O34" s="18">
        <f t="shared" si="3"/>
        <v>0</v>
      </c>
      <c r="P34" s="18">
        <v>160.2</v>
      </c>
      <c r="Q34" s="18">
        <v>180.6</v>
      </c>
      <c r="R34" s="18">
        <f>Q34/P34*100</f>
        <v>112.73408239700376</v>
      </c>
      <c r="S34" s="68">
        <f t="shared" si="5"/>
        <v>143.79999999999998</v>
      </c>
      <c r="T34" s="68">
        <f>G34-H34</f>
        <v>199.0999999999999</v>
      </c>
      <c r="U34" s="91">
        <f t="shared" si="4"/>
        <v>518.1999999999998</v>
      </c>
      <c r="V34" s="19">
        <f>U34+льготи!U34</f>
        <v>703.3</v>
      </c>
    </row>
    <row r="35" spans="1:21" ht="24.75" customHeight="1">
      <c r="A35" s="36"/>
      <c r="B35" s="25" t="s">
        <v>47</v>
      </c>
      <c r="C35" s="41">
        <v>0</v>
      </c>
      <c r="D35" s="41">
        <f t="shared" si="6"/>
        <v>0</v>
      </c>
      <c r="E35" s="41">
        <f t="shared" si="7"/>
        <v>0</v>
      </c>
      <c r="F35" s="92"/>
      <c r="G35" s="26"/>
      <c r="H35" s="26"/>
      <c r="I35" s="26" t="e">
        <f t="shared" si="1"/>
        <v>#DIV/0!</v>
      </c>
      <c r="J35" s="26"/>
      <c r="K35" s="26"/>
      <c r="L35" s="26" t="e">
        <f t="shared" si="2"/>
        <v>#DIV/0!</v>
      </c>
      <c r="M35" s="26"/>
      <c r="N35" s="26"/>
      <c r="O35" s="18" t="e">
        <f t="shared" si="3"/>
        <v>#DIV/0!</v>
      </c>
      <c r="P35" s="18"/>
      <c r="Q35" s="18"/>
      <c r="R35" s="18"/>
      <c r="S35" s="68">
        <f t="shared" si="5"/>
        <v>0</v>
      </c>
      <c r="T35" s="104">
        <f t="shared" si="5"/>
        <v>0</v>
      </c>
      <c r="U35" s="91">
        <f t="shared" si="4"/>
        <v>0</v>
      </c>
    </row>
    <row r="36" spans="1:21" ht="35.25" customHeight="1">
      <c r="A36" s="2">
        <v>26</v>
      </c>
      <c r="B36" s="25" t="s">
        <v>106</v>
      </c>
      <c r="C36" s="41">
        <v>51.9</v>
      </c>
      <c r="D36" s="41">
        <f t="shared" si="6"/>
        <v>120.80000000000001</v>
      </c>
      <c r="E36" s="41">
        <f t="shared" si="7"/>
        <v>119</v>
      </c>
      <c r="F36" s="92">
        <f t="shared" si="0"/>
        <v>98.50993377483442</v>
      </c>
      <c r="G36" s="18">
        <v>1465.2</v>
      </c>
      <c r="H36" s="18">
        <v>1198.3</v>
      </c>
      <c r="I36" s="18">
        <f t="shared" si="1"/>
        <v>81.78405678405679</v>
      </c>
      <c r="J36" s="18">
        <v>27.1</v>
      </c>
      <c r="K36" s="18">
        <v>8.5</v>
      </c>
      <c r="L36" s="18">
        <f t="shared" si="2"/>
        <v>31.36531365313653</v>
      </c>
      <c r="M36" s="18">
        <v>43.2</v>
      </c>
      <c r="N36" s="18">
        <v>33.2</v>
      </c>
      <c r="O36" s="18">
        <f t="shared" si="3"/>
        <v>76.85185185185185</v>
      </c>
      <c r="P36" s="18">
        <v>50.5</v>
      </c>
      <c r="Q36" s="18">
        <v>77.3</v>
      </c>
      <c r="R36" s="18">
        <f aca="true" t="shared" si="10" ref="R36:R46">Q36/P36*100</f>
        <v>153.06930693069307</v>
      </c>
      <c r="S36" s="68">
        <f t="shared" si="5"/>
        <v>1.8000000000000114</v>
      </c>
      <c r="T36" s="68">
        <f aca="true" t="shared" si="11" ref="T36:T43">G36-H36</f>
        <v>266.9000000000001</v>
      </c>
      <c r="U36" s="91">
        <f t="shared" si="4"/>
        <v>318.8000000000002</v>
      </c>
    </row>
    <row r="37" spans="1:21" s="38" customFormat="1" ht="24" customHeight="1">
      <c r="A37" s="2">
        <v>27</v>
      </c>
      <c r="B37" s="23" t="s">
        <v>30</v>
      </c>
      <c r="C37" s="41">
        <v>0.5</v>
      </c>
      <c r="D37" s="41">
        <f t="shared" si="6"/>
        <v>1.5</v>
      </c>
      <c r="E37" s="41">
        <f t="shared" si="7"/>
        <v>1.7000000000000002</v>
      </c>
      <c r="F37" s="92">
        <f t="shared" si="0"/>
        <v>113.33333333333336</v>
      </c>
      <c r="G37" s="18">
        <v>0.7</v>
      </c>
      <c r="H37" s="18">
        <v>1.2</v>
      </c>
      <c r="I37" s="18">
        <f t="shared" si="1"/>
        <v>171.42857142857144</v>
      </c>
      <c r="J37" s="18">
        <v>0.1</v>
      </c>
      <c r="K37" s="18">
        <v>0</v>
      </c>
      <c r="L37" s="18">
        <f t="shared" si="2"/>
        <v>0</v>
      </c>
      <c r="M37" s="18">
        <v>0.9</v>
      </c>
      <c r="N37" s="18">
        <v>0.8</v>
      </c>
      <c r="O37" s="18">
        <f t="shared" si="3"/>
        <v>88.8888888888889</v>
      </c>
      <c r="P37" s="18">
        <v>0.5</v>
      </c>
      <c r="Q37" s="18">
        <v>0.9</v>
      </c>
      <c r="R37" s="18">
        <f t="shared" si="10"/>
        <v>180</v>
      </c>
      <c r="S37" s="68">
        <f t="shared" si="5"/>
        <v>-0.20000000000000018</v>
      </c>
      <c r="T37" s="68">
        <f t="shared" si="11"/>
        <v>-0.5</v>
      </c>
      <c r="U37" s="91">
        <f t="shared" si="4"/>
        <v>0</v>
      </c>
    </row>
    <row r="38" spans="1:21" ht="24" customHeight="1">
      <c r="A38" s="2">
        <v>28</v>
      </c>
      <c r="B38" s="25" t="s">
        <v>31</v>
      </c>
      <c r="C38" s="41">
        <v>821.6</v>
      </c>
      <c r="D38" s="41">
        <f t="shared" si="6"/>
        <v>1164.3</v>
      </c>
      <c r="E38" s="41">
        <f t="shared" si="7"/>
        <v>624.4</v>
      </c>
      <c r="F38" s="92">
        <f t="shared" si="0"/>
        <v>53.62878983079962</v>
      </c>
      <c r="G38" s="18">
        <v>6961.2</v>
      </c>
      <c r="H38" s="18">
        <v>5334.7</v>
      </c>
      <c r="I38" s="18">
        <f t="shared" si="1"/>
        <v>76.63477561339998</v>
      </c>
      <c r="J38" s="18">
        <v>139</v>
      </c>
      <c r="K38" s="18">
        <v>59.4</v>
      </c>
      <c r="L38" s="18">
        <f t="shared" si="2"/>
        <v>42.73381294964029</v>
      </c>
      <c r="M38" s="18">
        <v>426</v>
      </c>
      <c r="N38" s="18">
        <v>139</v>
      </c>
      <c r="O38" s="18">
        <f t="shared" si="3"/>
        <v>32.629107981220656</v>
      </c>
      <c r="P38" s="18">
        <v>599.3</v>
      </c>
      <c r="Q38" s="18">
        <v>426</v>
      </c>
      <c r="R38" s="18">
        <f t="shared" si="10"/>
        <v>71.08293008509928</v>
      </c>
      <c r="S38" s="68">
        <f t="shared" si="5"/>
        <v>539.9</v>
      </c>
      <c r="T38" s="68">
        <f t="shared" si="11"/>
        <v>1626.5</v>
      </c>
      <c r="U38" s="91">
        <f t="shared" si="4"/>
        <v>2448.1000000000004</v>
      </c>
    </row>
    <row r="39" spans="1:21" s="38" customFormat="1" ht="24" customHeight="1">
      <c r="A39" s="2">
        <v>29</v>
      </c>
      <c r="B39" s="25" t="s">
        <v>32</v>
      </c>
      <c r="C39" s="41">
        <v>993.7</v>
      </c>
      <c r="D39" s="41">
        <f t="shared" si="6"/>
        <v>1031.6</v>
      </c>
      <c r="E39" s="41">
        <f t="shared" si="7"/>
        <v>487</v>
      </c>
      <c r="F39" s="92">
        <f t="shared" si="0"/>
        <v>47.20822024040326</v>
      </c>
      <c r="G39" s="18">
        <v>7074.1</v>
      </c>
      <c r="H39" s="18">
        <v>5794.9</v>
      </c>
      <c r="I39" s="18">
        <f t="shared" si="1"/>
        <v>81.91713433510975</v>
      </c>
      <c r="J39" s="18">
        <v>71</v>
      </c>
      <c r="K39" s="18">
        <v>0</v>
      </c>
      <c r="L39" s="18">
        <f t="shared" si="2"/>
        <v>0</v>
      </c>
      <c r="M39" s="18">
        <v>419.3</v>
      </c>
      <c r="N39" s="18">
        <v>67.7</v>
      </c>
      <c r="O39" s="18">
        <f t="shared" si="3"/>
        <v>16.145957548294774</v>
      </c>
      <c r="P39" s="18">
        <v>541.3</v>
      </c>
      <c r="Q39" s="18">
        <v>419.3</v>
      </c>
      <c r="R39" s="18">
        <f t="shared" si="10"/>
        <v>77.46166635876594</v>
      </c>
      <c r="S39" s="68">
        <f t="shared" si="5"/>
        <v>544.5999999999999</v>
      </c>
      <c r="T39" s="68">
        <f t="shared" si="11"/>
        <v>1279.2000000000007</v>
      </c>
      <c r="U39" s="91">
        <f t="shared" si="4"/>
        <v>2272.9000000000005</v>
      </c>
    </row>
    <row r="40" spans="1:21" ht="36.75" customHeight="1">
      <c r="A40" s="2">
        <v>30</v>
      </c>
      <c r="B40" s="25" t="s">
        <v>107</v>
      </c>
      <c r="C40" s="41">
        <v>1858.3</v>
      </c>
      <c r="D40" s="41">
        <f t="shared" si="6"/>
        <v>2184.8</v>
      </c>
      <c r="E40" s="41">
        <f t="shared" si="7"/>
        <v>3106.7</v>
      </c>
      <c r="F40" s="92">
        <f t="shared" si="0"/>
        <v>142.1960820212376</v>
      </c>
      <c r="G40" s="18">
        <v>17140.5</v>
      </c>
      <c r="H40" s="18">
        <v>13190.9</v>
      </c>
      <c r="I40" s="18">
        <f t="shared" si="1"/>
        <v>76.95749832268604</v>
      </c>
      <c r="J40" s="18">
        <v>924.1</v>
      </c>
      <c r="K40" s="18">
        <v>1828.5</v>
      </c>
      <c r="L40" s="18">
        <f t="shared" si="2"/>
        <v>197.86819608267504</v>
      </c>
      <c r="M40" s="18">
        <v>354.1</v>
      </c>
      <c r="N40" s="18">
        <v>924.1</v>
      </c>
      <c r="O40" s="18">
        <f t="shared" si="3"/>
        <v>260.97147698390285</v>
      </c>
      <c r="P40" s="18">
        <v>906.6</v>
      </c>
      <c r="Q40" s="18">
        <v>354.1</v>
      </c>
      <c r="R40" s="18">
        <f t="shared" si="10"/>
        <v>39.05801897198324</v>
      </c>
      <c r="S40" s="68">
        <f t="shared" si="5"/>
        <v>-921.8999999999996</v>
      </c>
      <c r="T40" s="68">
        <f t="shared" si="11"/>
        <v>3949.6000000000004</v>
      </c>
      <c r="U40" s="91">
        <f t="shared" si="4"/>
        <v>5807.9</v>
      </c>
    </row>
    <row r="41" spans="1:21" s="38" customFormat="1" ht="24" customHeight="1">
      <c r="A41" s="2">
        <v>31</v>
      </c>
      <c r="B41" s="25" t="s">
        <v>33</v>
      </c>
      <c r="C41" s="41">
        <v>1</v>
      </c>
      <c r="D41" s="41">
        <f t="shared" si="6"/>
        <v>2.0999999999999996</v>
      </c>
      <c r="E41" s="41">
        <f t="shared" si="7"/>
        <v>0.6000000000000001</v>
      </c>
      <c r="F41" s="107">
        <f t="shared" si="0"/>
        <v>28.57142857142858</v>
      </c>
      <c r="G41" s="18">
        <v>3.2</v>
      </c>
      <c r="H41" s="18">
        <v>3.3</v>
      </c>
      <c r="I41" s="18">
        <f t="shared" si="1"/>
        <v>103.12499999999997</v>
      </c>
      <c r="J41" s="18">
        <v>0</v>
      </c>
      <c r="K41" s="18">
        <v>0</v>
      </c>
      <c r="L41" s="18" t="e">
        <f t="shared" si="2"/>
        <v>#DIV/0!</v>
      </c>
      <c r="M41" s="18">
        <v>0.7</v>
      </c>
      <c r="N41" s="18">
        <v>0.4</v>
      </c>
      <c r="O41" s="18">
        <f t="shared" si="3"/>
        <v>57.14285714285715</v>
      </c>
      <c r="P41" s="18">
        <v>1.4</v>
      </c>
      <c r="Q41" s="18">
        <v>0.2</v>
      </c>
      <c r="R41" s="18">
        <f t="shared" si="10"/>
        <v>14.285714285714288</v>
      </c>
      <c r="S41" s="68">
        <f t="shared" si="5"/>
        <v>1.4999999999999996</v>
      </c>
      <c r="T41" s="68">
        <f t="shared" si="11"/>
        <v>-0.09999999999999964</v>
      </c>
      <c r="U41" s="91">
        <f t="shared" si="4"/>
        <v>0.9000000000000004</v>
      </c>
    </row>
    <row r="42" spans="1:21" ht="37.5">
      <c r="A42" s="2">
        <v>32</v>
      </c>
      <c r="B42" s="23" t="s">
        <v>34</v>
      </c>
      <c r="C42" s="41">
        <v>203.9</v>
      </c>
      <c r="D42" s="41">
        <f t="shared" si="6"/>
        <v>543.8</v>
      </c>
      <c r="E42" s="41">
        <f t="shared" si="7"/>
        <v>372.3</v>
      </c>
      <c r="F42" s="92">
        <f t="shared" si="0"/>
        <v>68.46267009930122</v>
      </c>
      <c r="G42" s="18">
        <v>4980.8</v>
      </c>
      <c r="H42" s="18">
        <v>3478.5</v>
      </c>
      <c r="I42" s="18">
        <f t="shared" si="1"/>
        <v>69.83817860584645</v>
      </c>
      <c r="J42" s="18">
        <v>50.9</v>
      </c>
      <c r="K42" s="18">
        <v>206.9</v>
      </c>
      <c r="L42" s="18">
        <f t="shared" si="2"/>
        <v>406.483300589391</v>
      </c>
      <c r="M42" s="18">
        <v>114.6</v>
      </c>
      <c r="N42" s="18">
        <v>50.9</v>
      </c>
      <c r="O42" s="18">
        <f t="shared" si="3"/>
        <v>44.41535776614311</v>
      </c>
      <c r="P42" s="18">
        <v>378.3</v>
      </c>
      <c r="Q42" s="18">
        <v>114.5</v>
      </c>
      <c r="R42" s="18">
        <f t="shared" si="10"/>
        <v>30.266983875231297</v>
      </c>
      <c r="S42" s="68">
        <f t="shared" si="5"/>
        <v>171.49999999999994</v>
      </c>
      <c r="T42" s="68">
        <f t="shared" si="11"/>
        <v>1502.3000000000002</v>
      </c>
      <c r="U42" s="91">
        <f t="shared" si="4"/>
        <v>1706.1999999999998</v>
      </c>
    </row>
    <row r="43" spans="1:21" ht="24" customHeight="1">
      <c r="A43" s="2">
        <v>33</v>
      </c>
      <c r="B43" s="25" t="s">
        <v>35</v>
      </c>
      <c r="C43" s="41">
        <v>375.6</v>
      </c>
      <c r="D43" s="41">
        <f t="shared" si="6"/>
        <v>201.8</v>
      </c>
      <c r="E43" s="41">
        <f t="shared" si="7"/>
        <v>118.30000000000001</v>
      </c>
      <c r="F43" s="92">
        <f>E43/D43*100</f>
        <v>58.62239841427156</v>
      </c>
      <c r="G43" s="18">
        <v>3148.8</v>
      </c>
      <c r="H43" s="18">
        <v>2409</v>
      </c>
      <c r="I43" s="18">
        <f t="shared" si="1"/>
        <v>76.50533536585365</v>
      </c>
      <c r="J43" s="18">
        <v>60.1</v>
      </c>
      <c r="K43" s="18">
        <v>56.2</v>
      </c>
      <c r="L43" s="18">
        <f t="shared" si="2"/>
        <v>93.51081530782031</v>
      </c>
      <c r="M43" s="18">
        <v>62.1</v>
      </c>
      <c r="N43" s="18">
        <v>0</v>
      </c>
      <c r="O43" s="18">
        <f t="shared" si="3"/>
        <v>0</v>
      </c>
      <c r="P43" s="18">
        <v>79.6</v>
      </c>
      <c r="Q43" s="18">
        <v>62.1</v>
      </c>
      <c r="R43" s="18">
        <f t="shared" si="10"/>
        <v>78.01507537688443</v>
      </c>
      <c r="S43" s="68">
        <f t="shared" si="5"/>
        <v>83.5</v>
      </c>
      <c r="T43" s="68">
        <f t="shared" si="11"/>
        <v>739.8000000000002</v>
      </c>
      <c r="U43" s="91">
        <f t="shared" si="4"/>
        <v>1115.4</v>
      </c>
    </row>
    <row r="44" spans="1:23" s="7" customFormat="1" ht="24.75" customHeight="1">
      <c r="A44" s="6">
        <v>34</v>
      </c>
      <c r="B44" s="6" t="s">
        <v>6</v>
      </c>
      <c r="C44" s="42">
        <f>C45+C46</f>
        <v>130.7</v>
      </c>
      <c r="D44" s="42">
        <f>D45+D46</f>
        <v>14673.1</v>
      </c>
      <c r="E44" s="42">
        <f>E45+E46</f>
        <v>82.5</v>
      </c>
      <c r="F44" s="40">
        <f t="shared" si="0"/>
        <v>0.5622533752240495</v>
      </c>
      <c r="G44" s="16">
        <f>G45+G46</f>
        <v>113751.9</v>
      </c>
      <c r="H44" s="16">
        <f>H45+H46</f>
        <v>91755.7</v>
      </c>
      <c r="I44" s="17">
        <f t="shared" si="1"/>
        <v>80.66300431025768</v>
      </c>
      <c r="J44" s="16">
        <f>J45+J46</f>
        <v>3685.2</v>
      </c>
      <c r="K44" s="16">
        <f>K45+K46</f>
        <v>5.7</v>
      </c>
      <c r="L44" s="17">
        <f t="shared" si="2"/>
        <v>0.15467274503419082</v>
      </c>
      <c r="M44" s="16">
        <f>M45+M46</f>
        <v>4288.6</v>
      </c>
      <c r="N44" s="16">
        <f>N45+N46</f>
        <v>37.2</v>
      </c>
      <c r="O44" s="17">
        <f t="shared" si="3"/>
        <v>0.8674159399337779</v>
      </c>
      <c r="P44" s="16">
        <f>P45+P46</f>
        <v>6699.3</v>
      </c>
      <c r="Q44" s="16">
        <f>Q45+Q46</f>
        <v>39.6</v>
      </c>
      <c r="R44" s="17">
        <f t="shared" si="10"/>
        <v>0.5911065335184272</v>
      </c>
      <c r="S44" s="105">
        <f>S45+S46</f>
        <v>14590.6</v>
      </c>
      <c r="T44" s="59">
        <f>SUMIF(T45:T47,"&gt;0",T45:T47)</f>
        <v>22127</v>
      </c>
      <c r="U44" s="59">
        <f>SUMIF(U45:U47,"&gt;0",U45:U47)</f>
        <v>22127</v>
      </c>
      <c r="V44" s="7">
        <v>-38.9</v>
      </c>
      <c r="W44" s="7">
        <v>0</v>
      </c>
    </row>
    <row r="45" spans="1:21" s="51" customFormat="1" ht="24.75" customHeight="1">
      <c r="A45" s="6"/>
      <c r="B45" s="23" t="s">
        <v>36</v>
      </c>
      <c r="C45" s="41">
        <f>9358-9358</f>
        <v>0</v>
      </c>
      <c r="D45" s="41">
        <f t="shared" si="6"/>
        <v>14531</v>
      </c>
      <c r="E45" s="41">
        <f t="shared" si="7"/>
        <v>0</v>
      </c>
      <c r="F45" s="92">
        <f t="shared" si="0"/>
        <v>0</v>
      </c>
      <c r="G45" s="18">
        <v>112395</v>
      </c>
      <c r="H45" s="18">
        <v>90268</v>
      </c>
      <c r="I45" s="18">
        <f t="shared" si="1"/>
        <v>80.31318119133414</v>
      </c>
      <c r="J45" s="18">
        <v>3648</v>
      </c>
      <c r="K45" s="18">
        <v>0</v>
      </c>
      <c r="L45" s="18">
        <f t="shared" si="2"/>
        <v>0</v>
      </c>
      <c r="M45" s="18">
        <v>4249</v>
      </c>
      <c r="N45" s="18">
        <v>0</v>
      </c>
      <c r="O45" s="18">
        <f t="shared" si="3"/>
        <v>0</v>
      </c>
      <c r="P45" s="18">
        <v>6634</v>
      </c>
      <c r="Q45" s="18">
        <v>0</v>
      </c>
      <c r="R45" s="18">
        <f t="shared" si="10"/>
        <v>0</v>
      </c>
      <c r="S45" s="68">
        <f t="shared" si="5"/>
        <v>14531</v>
      </c>
      <c r="T45" s="68">
        <f>G45-H45</f>
        <v>22127</v>
      </c>
      <c r="U45" s="91">
        <f>C45+G45-H45</f>
        <v>22127</v>
      </c>
    </row>
    <row r="46" spans="1:23" s="7" customFormat="1" ht="24.75" customHeight="1">
      <c r="A46" s="6"/>
      <c r="B46" s="23" t="s">
        <v>37</v>
      </c>
      <c r="C46" s="41">
        <v>130.7</v>
      </c>
      <c r="D46" s="41">
        <f t="shared" si="6"/>
        <v>142.10000000000002</v>
      </c>
      <c r="E46" s="41">
        <f t="shared" si="7"/>
        <v>82.5</v>
      </c>
      <c r="F46" s="92">
        <f t="shared" si="0"/>
        <v>58.05770584095706</v>
      </c>
      <c r="G46" s="18">
        <v>1356.9</v>
      </c>
      <c r="H46" s="18">
        <v>1487.7</v>
      </c>
      <c r="I46" s="18">
        <f t="shared" si="1"/>
        <v>109.63961972142383</v>
      </c>
      <c r="J46" s="18">
        <v>37.2</v>
      </c>
      <c r="K46" s="18">
        <v>5.7</v>
      </c>
      <c r="L46" s="18">
        <f t="shared" si="2"/>
        <v>15.32258064516129</v>
      </c>
      <c r="M46" s="18">
        <v>39.6</v>
      </c>
      <c r="N46" s="18">
        <v>37.2</v>
      </c>
      <c r="O46" s="18">
        <f t="shared" si="3"/>
        <v>93.93939393939394</v>
      </c>
      <c r="P46" s="18">
        <v>65.3</v>
      </c>
      <c r="Q46" s="18">
        <v>39.6</v>
      </c>
      <c r="R46" s="18">
        <f t="shared" si="10"/>
        <v>60.64318529862175</v>
      </c>
      <c r="S46" s="68">
        <f t="shared" si="5"/>
        <v>59.60000000000002</v>
      </c>
      <c r="T46" s="68">
        <f>G46-H46</f>
        <v>-130.79999999999995</v>
      </c>
      <c r="U46" s="91">
        <f>C46+G46-H46</f>
        <v>-0.09999999999990905</v>
      </c>
      <c r="V46" s="7">
        <v>-38.9</v>
      </c>
      <c r="W46" s="7">
        <v>0</v>
      </c>
    </row>
    <row r="47" spans="1:21" s="7" customFormat="1" ht="24.75" customHeight="1">
      <c r="A47" s="6"/>
      <c r="B47" s="23" t="s">
        <v>47</v>
      </c>
      <c r="C47" s="41">
        <v>0</v>
      </c>
      <c r="D47" s="41">
        <f t="shared" si="6"/>
        <v>0</v>
      </c>
      <c r="E47" s="41">
        <f t="shared" si="7"/>
        <v>0</v>
      </c>
      <c r="F47" s="92"/>
      <c r="G47" s="26"/>
      <c r="H47" s="26"/>
      <c r="I47" s="35" t="e">
        <f t="shared" si="1"/>
        <v>#DIV/0!</v>
      </c>
      <c r="J47" s="26"/>
      <c r="K47" s="26"/>
      <c r="L47" s="26"/>
      <c r="M47" s="26"/>
      <c r="N47" s="26"/>
      <c r="O47" s="18" t="e">
        <f t="shared" si="3"/>
        <v>#DIV/0!</v>
      </c>
      <c r="P47" s="18"/>
      <c r="Q47" s="18"/>
      <c r="R47" s="18"/>
      <c r="S47" s="68">
        <f t="shared" si="5"/>
        <v>0</v>
      </c>
      <c r="T47" s="104">
        <f t="shared" si="5"/>
        <v>0</v>
      </c>
      <c r="U47" s="91">
        <f>C47+G47-H47</f>
        <v>0</v>
      </c>
    </row>
    <row r="48" spans="1:23" s="7" customFormat="1" ht="24.75" customHeight="1">
      <c r="A48" s="6"/>
      <c r="B48" s="6" t="s">
        <v>8</v>
      </c>
      <c r="C48" s="42">
        <f>C8+C44</f>
        <v>7293.7</v>
      </c>
      <c r="D48" s="42">
        <f>D8+D44</f>
        <v>22895.9</v>
      </c>
      <c r="E48" s="42">
        <f>E8+E44</f>
        <v>8220.8</v>
      </c>
      <c r="F48" s="40">
        <f t="shared" si="0"/>
        <v>35.90511838364073</v>
      </c>
      <c r="G48" s="16">
        <f>G8+G44</f>
        <v>168752.6</v>
      </c>
      <c r="H48" s="16">
        <f>H8+H44</f>
        <v>135988.2</v>
      </c>
      <c r="I48" s="17">
        <f t="shared" si="1"/>
        <v>80.58435840395941</v>
      </c>
      <c r="J48" s="16">
        <f>J8+J44</f>
        <v>5562.299999999999</v>
      </c>
      <c r="K48" s="16">
        <f>K8+K44</f>
        <v>3787.7999999999997</v>
      </c>
      <c r="L48" s="17">
        <f>K48/J48*100</f>
        <v>68.09772935656115</v>
      </c>
      <c r="M48" s="16">
        <f>M8+M44</f>
        <v>6750.200000000001</v>
      </c>
      <c r="N48" s="16">
        <f>N8+N44</f>
        <v>1854.1000000000001</v>
      </c>
      <c r="O48" s="17">
        <f>N48/M48*100</f>
        <v>27.467334301205888</v>
      </c>
      <c r="P48" s="16">
        <f>P8+P44</f>
        <v>10583.4</v>
      </c>
      <c r="Q48" s="16">
        <f>Q8+Q44</f>
        <v>2578.8999999999996</v>
      </c>
      <c r="R48" s="17">
        <f>Q48/P48*100</f>
        <v>24.367405559650017</v>
      </c>
      <c r="S48" s="105">
        <f>S44</f>
        <v>14590.6</v>
      </c>
      <c r="T48" s="108">
        <f>T44+T8</f>
        <v>33442.5</v>
      </c>
      <c r="U48" s="105">
        <f>U8+U44</f>
        <v>40058.2</v>
      </c>
      <c r="V48" s="108">
        <f>V44+V8</f>
        <v>-586.1999999999999</v>
      </c>
      <c r="W48" s="108">
        <f>W44+W8</f>
        <v>0</v>
      </c>
    </row>
    <row r="49" spans="1:21" s="7" customFormat="1" ht="24.75" customHeight="1" hidden="1">
      <c r="A49" s="56"/>
      <c r="B49" s="56"/>
      <c r="C49" s="57"/>
      <c r="D49" s="30"/>
      <c r="E49" s="30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87"/>
      <c r="T49" s="87"/>
      <c r="U49" s="102"/>
    </row>
    <row r="50" spans="1:21" s="7" customFormat="1" ht="18.75" customHeight="1" hidden="1">
      <c r="A50" s="6"/>
      <c r="B50" s="55" t="s">
        <v>48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87"/>
      <c r="T50" s="87"/>
      <c r="U50" s="102"/>
    </row>
    <row r="51" spans="1:21" s="7" customFormat="1" ht="6.75" customHeight="1" hidden="1">
      <c r="A51" s="56"/>
      <c r="B51" s="55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87"/>
      <c r="T51" s="87"/>
      <c r="U51" s="102"/>
    </row>
    <row r="52" spans="1:21" s="7" customFormat="1" ht="18.75" customHeight="1" hidden="1">
      <c r="A52" s="6"/>
      <c r="B52" s="55" t="s">
        <v>49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87"/>
      <c r="T52" s="87"/>
      <c r="U52" s="102"/>
    </row>
    <row r="53" spans="3:21" ht="24.75" customHeight="1">
      <c r="C53" s="43"/>
      <c r="D53" s="9"/>
      <c r="E53" s="9"/>
      <c r="F53" s="21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88"/>
      <c r="T53" s="9"/>
      <c r="U53" s="88"/>
    </row>
    <row r="54" spans="1:28" ht="73.5" customHeight="1" hidden="1">
      <c r="A54" s="240" t="s">
        <v>116</v>
      </c>
      <c r="B54" s="240"/>
      <c r="C54" s="240"/>
      <c r="D54" s="240"/>
      <c r="E54" s="110"/>
      <c r="F54" s="110"/>
      <c r="G54" s="110"/>
      <c r="H54" s="1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88"/>
      <c r="U54" s="76" t="s">
        <v>111</v>
      </c>
      <c r="V54" s="9"/>
      <c r="W54" s="9"/>
      <c r="X54" s="9"/>
      <c r="Y54" s="9"/>
      <c r="Z54" s="9"/>
      <c r="AA54" s="64"/>
      <c r="AB54" s="76" t="s">
        <v>111</v>
      </c>
    </row>
    <row r="55" spans="1:23" s="131" customFormat="1" ht="42.75" customHeight="1">
      <c r="A55" s="138"/>
      <c r="B55" s="236" t="s">
        <v>119</v>
      </c>
      <c r="C55" s="236"/>
      <c r="D55" s="236"/>
      <c r="E55" s="236"/>
      <c r="F55" s="236"/>
      <c r="G55" s="135"/>
      <c r="H55" s="135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4"/>
      <c r="T55" s="136"/>
      <c r="U55" s="139" t="s">
        <v>118</v>
      </c>
      <c r="V55" s="137"/>
      <c r="W55" s="133"/>
    </row>
    <row r="56" spans="3:21" ht="40.5" customHeight="1">
      <c r="C56" s="44"/>
      <c r="D56" s="12">
        <f>D58/D60*100</f>
        <v>51.741293532338304</v>
      </c>
      <c r="E56" s="12" t="e">
        <f>E58/E60*100</f>
        <v>#DIV/0!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90"/>
      <c r="T56" s="89"/>
      <c r="U56" s="90"/>
    </row>
    <row r="57" spans="3:21" ht="40.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90"/>
      <c r="T57" s="90"/>
      <c r="U57" s="90"/>
    </row>
    <row r="58" spans="2:21" ht="19.5" customHeight="1">
      <c r="B58" s="1" t="s">
        <v>43</v>
      </c>
      <c r="C58" s="45">
        <v>41.3</v>
      </c>
      <c r="D58" s="33">
        <v>10.4</v>
      </c>
      <c r="E58" s="33">
        <v>0</v>
      </c>
      <c r="F58" s="18"/>
      <c r="G58" s="18">
        <v>94.8</v>
      </c>
      <c r="H58" s="18">
        <v>128.8</v>
      </c>
      <c r="I58" s="18"/>
      <c r="J58" s="18">
        <v>32.5</v>
      </c>
      <c r="K58" s="18">
        <v>0</v>
      </c>
      <c r="L58" s="18"/>
      <c r="M58" s="18"/>
      <c r="N58" s="18"/>
      <c r="O58" s="18"/>
      <c r="P58" s="18"/>
      <c r="Q58" s="18"/>
      <c r="R58" s="18"/>
      <c r="S58" s="86"/>
      <c r="T58" s="86"/>
      <c r="U58" s="91">
        <f>C58+G58-H58</f>
        <v>7.299999999999983</v>
      </c>
    </row>
    <row r="59" spans="2:21" ht="18.75">
      <c r="B59" s="1" t="s">
        <v>44</v>
      </c>
      <c r="C59" s="43">
        <v>60</v>
      </c>
      <c r="D59" s="9">
        <v>9.7</v>
      </c>
      <c r="E59" s="9">
        <v>0</v>
      </c>
      <c r="F59" s="9"/>
      <c r="G59" s="9">
        <v>196.2</v>
      </c>
      <c r="H59" s="9">
        <v>238.1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88"/>
      <c r="T59" s="90"/>
      <c r="U59" s="91">
        <f>C59+G59-H59</f>
        <v>18.099999999999994</v>
      </c>
    </row>
    <row r="60" spans="3:21" ht="18.75">
      <c r="C60" s="43"/>
      <c r="D60" s="9">
        <f>SUM(D58:D59)</f>
        <v>20.1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88"/>
      <c r="T60" s="90"/>
      <c r="U60" s="90"/>
    </row>
    <row r="61" spans="3:21" ht="18.75">
      <c r="C61" s="43"/>
      <c r="D61" s="9">
        <f>D60/D34*100</f>
        <v>6.196054254007399</v>
      </c>
      <c r="E61" s="9">
        <f>E60/E34*100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8"/>
      <c r="T61" s="90"/>
      <c r="U61" s="90"/>
    </row>
    <row r="62" spans="3:21" ht="18.75"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88"/>
      <c r="T62" s="90"/>
      <c r="U62" s="90"/>
    </row>
    <row r="63" spans="2:21" ht="18.75">
      <c r="B63" s="1" t="s">
        <v>45</v>
      </c>
      <c r="C63" s="43">
        <f>C10+C18+C21+C27+C37+C39+C41</f>
        <v>1070.7</v>
      </c>
      <c r="D63" s="9">
        <f>D10+D18+D21+D27+D37+D39+D41</f>
        <v>1135.7999999999997</v>
      </c>
      <c r="E63" s="9">
        <f>E10+E18+E21+E27+E37+E39+E41</f>
        <v>543.8000000000001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88"/>
      <c r="T63" s="90"/>
      <c r="U63" s="90">
        <f>U10+U18+U21+U27+U37+U39+U41</f>
        <v>2415.5000000000005</v>
      </c>
    </row>
    <row r="64" spans="2:21" ht="18.75">
      <c r="B64" s="1" t="s">
        <v>46</v>
      </c>
      <c r="C64" s="43">
        <f>C12+C14+C15+C17+C19+C20+C26</f>
        <v>138.7</v>
      </c>
      <c r="D64" s="9">
        <f>D12+D14+D15+D17+D19+D20+D26</f>
        <v>93.7</v>
      </c>
      <c r="E64" s="9">
        <f>E12+E14+E15+E17+E19+E20+E26</f>
        <v>86.9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88"/>
      <c r="T64" s="90"/>
      <c r="U64" s="90">
        <f>U12+U14+U15+U17+U19+U20+U26</f>
        <v>208.3000000000001</v>
      </c>
    </row>
    <row r="65" spans="3:21" ht="18.75">
      <c r="C65" s="44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90"/>
      <c r="T65" s="90"/>
      <c r="U65" s="90"/>
    </row>
    <row r="66" spans="3:21" ht="18.75">
      <c r="C66" s="4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90"/>
      <c r="T66" s="90"/>
      <c r="U66" s="90"/>
    </row>
    <row r="67" spans="3:21" ht="18.75">
      <c r="C67" s="44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90"/>
      <c r="T67" s="90"/>
      <c r="U67" s="90"/>
    </row>
    <row r="68" spans="3:21" ht="18.75">
      <c r="C68" s="44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90"/>
      <c r="T68" s="90"/>
      <c r="U68" s="90"/>
    </row>
    <row r="69" spans="3:21" ht="18.75">
      <c r="C69" s="44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90"/>
      <c r="T69" s="90"/>
      <c r="U69" s="90"/>
    </row>
    <row r="70" spans="3:21" ht="18.75">
      <c r="C70" s="44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90"/>
      <c r="T70" s="90"/>
      <c r="U70" s="90"/>
    </row>
    <row r="71" spans="3:21" ht="18.75">
      <c r="C71" s="44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90"/>
      <c r="T71" s="90"/>
      <c r="U71" s="90"/>
    </row>
    <row r="72" spans="3:21" ht="18.75">
      <c r="C72" s="44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90"/>
      <c r="T72" s="90"/>
      <c r="U72" s="90"/>
    </row>
    <row r="73" spans="3:21" ht="18.75">
      <c r="C73" s="44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90"/>
      <c r="T73" s="90"/>
      <c r="U73" s="90"/>
    </row>
    <row r="74" spans="3:21" ht="18.75">
      <c r="C74" s="44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90"/>
      <c r="T74" s="90"/>
      <c r="U74" s="90"/>
    </row>
    <row r="75" spans="3:21" ht="18.75">
      <c r="C75" s="44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90"/>
      <c r="T75" s="90"/>
      <c r="U75" s="90"/>
    </row>
    <row r="76" spans="3:21" ht="18.75">
      <c r="C76" s="44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90"/>
      <c r="T76" s="90"/>
      <c r="U76" s="90"/>
    </row>
    <row r="77" spans="3:21" ht="18.75">
      <c r="C77" s="44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90"/>
      <c r="T77" s="90"/>
      <c r="U77" s="90"/>
    </row>
    <row r="78" spans="3:21" ht="18.75">
      <c r="C78" s="44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90"/>
      <c r="T78" s="90"/>
      <c r="U78" s="90"/>
    </row>
    <row r="79" spans="3:21" ht="18.75">
      <c r="C79" s="44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90"/>
      <c r="T79" s="90"/>
      <c r="U79" s="90"/>
    </row>
    <row r="80" spans="3:21" ht="18.75">
      <c r="C80" s="44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90"/>
      <c r="T80" s="90"/>
      <c r="U80" s="90"/>
    </row>
    <row r="81" spans="3:21" ht="18.75">
      <c r="C81" s="4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90"/>
      <c r="T81" s="90"/>
      <c r="U81" s="90"/>
    </row>
    <row r="82" spans="3:21" ht="18.75">
      <c r="C82" s="4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90"/>
      <c r="T82" s="90"/>
      <c r="U82" s="90"/>
    </row>
    <row r="83" spans="3:21" ht="18.75">
      <c r="C83" s="44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90"/>
      <c r="T83" s="90"/>
      <c r="U83" s="90"/>
    </row>
    <row r="84" spans="3:21" ht="18.75">
      <c r="C84" s="44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90"/>
      <c r="T84" s="90"/>
      <c r="U84" s="90"/>
    </row>
    <row r="85" spans="3:21" ht="18.75">
      <c r="C85" s="44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90"/>
      <c r="T85" s="90"/>
      <c r="U85" s="90"/>
    </row>
    <row r="86" spans="3:21" ht="18.75">
      <c r="C86" s="44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90"/>
      <c r="T86" s="90"/>
      <c r="U86" s="90"/>
    </row>
    <row r="87" spans="3:21" ht="18.75">
      <c r="C87" s="44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90"/>
      <c r="T87" s="90"/>
      <c r="U87" s="90"/>
    </row>
    <row r="88" spans="3:21" ht="18.75">
      <c r="C88" s="4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90"/>
      <c r="T88" s="90"/>
      <c r="U88" s="90"/>
    </row>
    <row r="89" spans="3:21" ht="18.75">
      <c r="C89" s="44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0"/>
      <c r="T89" s="90"/>
      <c r="U89" s="90"/>
    </row>
    <row r="90" spans="3:21" ht="18.75">
      <c r="C90" s="44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90"/>
      <c r="T90" s="90"/>
      <c r="U90" s="90"/>
    </row>
    <row r="91" spans="3:21" ht="18.75">
      <c r="C91" s="44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90"/>
      <c r="T91" s="90"/>
      <c r="U91" s="90"/>
    </row>
    <row r="92" spans="3:21" ht="18.75">
      <c r="C92" s="44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90"/>
      <c r="T92" s="90"/>
      <c r="U92" s="90"/>
    </row>
    <row r="93" spans="3:21" ht="18.75">
      <c r="C93" s="44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90"/>
      <c r="T93" s="90"/>
      <c r="U93" s="90"/>
    </row>
    <row r="94" spans="3:21" ht="18.75">
      <c r="C94" s="44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90"/>
      <c r="T94" s="90"/>
      <c r="U94" s="90"/>
    </row>
    <row r="95" spans="3:21" ht="18.75">
      <c r="C95" s="44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90"/>
      <c r="T95" s="90"/>
      <c r="U95" s="90"/>
    </row>
    <row r="96" spans="3:21" ht="18.75">
      <c r="C96" s="44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90"/>
      <c r="T96" s="90"/>
      <c r="U96" s="90"/>
    </row>
    <row r="97" spans="3:21" ht="18.75">
      <c r="C97" s="44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90"/>
      <c r="T97" s="90"/>
      <c r="U97" s="90"/>
    </row>
    <row r="98" spans="3:21" ht="18.75">
      <c r="C98" s="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90"/>
      <c r="T98" s="90"/>
      <c r="U98" s="90"/>
    </row>
    <row r="99" spans="3:21" ht="18.75">
      <c r="C99" s="44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90"/>
      <c r="T99" s="90"/>
      <c r="U99" s="90"/>
    </row>
    <row r="100" spans="3:21" ht="18.75">
      <c r="C100" s="44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90"/>
      <c r="T100" s="90"/>
      <c r="U100" s="90"/>
    </row>
    <row r="101" spans="3:21" ht="18.75">
      <c r="C101" s="44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90"/>
      <c r="T101" s="90"/>
      <c r="U101" s="90"/>
    </row>
    <row r="102" spans="3:21" ht="18.75">
      <c r="C102" s="44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90"/>
      <c r="T102" s="90"/>
      <c r="U102" s="90"/>
    </row>
    <row r="103" spans="3:21" ht="18.75">
      <c r="C103" s="44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90"/>
      <c r="T103" s="90"/>
      <c r="U103" s="90"/>
    </row>
    <row r="104" spans="3:21" ht="18.75">
      <c r="C104" s="4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90"/>
      <c r="T104" s="90"/>
      <c r="U104" s="90"/>
    </row>
    <row r="105" spans="3:21" ht="18.75">
      <c r="C105" s="44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90"/>
      <c r="T105" s="90"/>
      <c r="U105" s="90"/>
    </row>
  </sheetData>
  <sheetProtection/>
  <mergeCells count="15">
    <mergeCell ref="C5:C6"/>
    <mergeCell ref="S5:S7"/>
    <mergeCell ref="D5:F5"/>
    <mergeCell ref="J5:L5"/>
    <mergeCell ref="G5:I5"/>
    <mergeCell ref="A54:D54"/>
    <mergeCell ref="U5:U7"/>
    <mergeCell ref="B55:F55"/>
    <mergeCell ref="G1:U1"/>
    <mergeCell ref="B2:U2"/>
    <mergeCell ref="B3:U3"/>
    <mergeCell ref="B4:F4"/>
    <mergeCell ref="M5:O5"/>
    <mergeCell ref="P5:R5"/>
    <mergeCell ref="T5:T7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44" activePane="bottomRight" state="frozen"/>
      <selection pane="topLeft" activeCell="T5" activeCellId="3" sqref="T5:U7 T5:U7 T5:U7 T5:U7"/>
      <selection pane="topRight" activeCell="T5" activeCellId="3" sqref="T5:U7 T5:U7 T5:U7 T5:U7"/>
      <selection pane="bottomLeft" activeCell="T5" activeCellId="3" sqref="T5:U7 T5:U7 T5:U7 T5:U7"/>
      <selection pane="bottomRight" activeCell="B55" sqref="B55:G55"/>
    </sheetView>
  </sheetViews>
  <sheetFormatPr defaultColWidth="7.875" defaultRowHeight="12.75"/>
  <cols>
    <col min="1" max="1" width="6.125" style="14" customWidth="1"/>
    <col min="2" max="2" width="51.25390625" style="1" customWidth="1"/>
    <col min="3" max="3" width="16.75390625" style="39" customWidth="1"/>
    <col min="4" max="4" width="15.875" style="1" hidden="1" customWidth="1"/>
    <col min="5" max="5" width="16.00390625" style="1" hidden="1" customWidth="1"/>
    <col min="6" max="6" width="12.00390625" style="1" hidden="1" customWidth="1"/>
    <col min="7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7" hidden="1" customWidth="1"/>
    <col min="20" max="20" width="24.75390625" style="74" customWidth="1"/>
    <col min="21" max="21" width="24.75390625" style="1" customWidth="1"/>
    <col min="22" max="22" width="15.125" style="1" customWidth="1"/>
    <col min="23" max="23" width="8.625" style="1" customWidth="1"/>
    <col min="24" max="16384" width="7.875" style="1" customWidth="1"/>
  </cols>
  <sheetData>
    <row r="1" spans="7:21" ht="18.75"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2:21" ht="18.75">
      <c r="B2" s="212" t="s">
        <v>94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2:21" ht="35.25" customHeight="1">
      <c r="B3" s="212" t="s">
        <v>122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2:21" ht="18.75">
      <c r="B4" s="213"/>
      <c r="C4" s="213"/>
      <c r="D4" s="213"/>
      <c r="E4" s="213"/>
      <c r="F4" s="213"/>
      <c r="U4" s="74" t="s">
        <v>54</v>
      </c>
    </row>
    <row r="5" spans="1:21" ht="36.75" customHeight="1">
      <c r="A5" s="117"/>
      <c r="B5" s="3"/>
      <c r="C5" s="214" t="s">
        <v>1</v>
      </c>
      <c r="D5" s="219" t="s">
        <v>110</v>
      </c>
      <c r="E5" s="220"/>
      <c r="F5" s="221"/>
      <c r="G5" s="216" t="s">
        <v>121</v>
      </c>
      <c r="H5" s="217"/>
      <c r="I5" s="218"/>
      <c r="J5" s="188" t="s">
        <v>109</v>
      </c>
      <c r="K5" s="189"/>
      <c r="L5" s="190"/>
      <c r="M5" s="188" t="s">
        <v>112</v>
      </c>
      <c r="N5" s="189"/>
      <c r="O5" s="190"/>
      <c r="P5" s="188" t="s">
        <v>113</v>
      </c>
      <c r="Q5" s="189"/>
      <c r="R5" s="190"/>
      <c r="S5" s="197" t="s">
        <v>114</v>
      </c>
      <c r="T5" s="197" t="s">
        <v>123</v>
      </c>
      <c r="U5" s="191" t="s">
        <v>124</v>
      </c>
    </row>
    <row r="6" spans="1:21" ht="18.75">
      <c r="A6" s="4" t="s">
        <v>39</v>
      </c>
      <c r="B6" s="4" t="s">
        <v>50</v>
      </c>
      <c r="C6" s="215"/>
      <c r="D6" s="10" t="s">
        <v>51</v>
      </c>
      <c r="E6" s="11" t="s">
        <v>53</v>
      </c>
      <c r="F6" s="10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8"/>
      <c r="T6" s="198"/>
      <c r="U6" s="192"/>
    </row>
    <row r="7" spans="1:21" ht="39.75" customHeight="1">
      <c r="A7" s="118" t="s">
        <v>10</v>
      </c>
      <c r="B7" s="5"/>
      <c r="C7" s="127" t="s">
        <v>117</v>
      </c>
      <c r="D7" s="11" t="s">
        <v>52</v>
      </c>
      <c r="E7" s="11" t="s">
        <v>52</v>
      </c>
      <c r="F7" s="15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9"/>
      <c r="T7" s="199"/>
      <c r="U7" s="193"/>
    </row>
    <row r="8" spans="1:23" s="7" customFormat="1" ht="36" customHeight="1">
      <c r="A8" s="119"/>
      <c r="B8" s="75" t="s">
        <v>55</v>
      </c>
      <c r="C8" s="40">
        <f>SUM(C9:C43)</f>
        <v>779.5000000000002</v>
      </c>
      <c r="D8" s="40">
        <f>SUM(D9:D43)</f>
        <v>12655.5</v>
      </c>
      <c r="E8" s="40">
        <f>SUM(E9:E43)</f>
        <v>13360.199999999999</v>
      </c>
      <c r="F8" s="40">
        <f aca="true" t="shared" si="0" ref="F8:F43">E8/D8*100</f>
        <v>105.56832997510963</v>
      </c>
      <c r="G8" s="17">
        <f>SUM(G9:G43)</f>
        <v>29055.000000000004</v>
      </c>
      <c r="H8" s="17">
        <f>SUM(H9:H43)</f>
        <v>26064.700000000004</v>
      </c>
      <c r="I8" s="17">
        <f aca="true" t="shared" si="1" ref="I8:I20">H8/G8*100</f>
        <v>89.70813973498538</v>
      </c>
      <c r="J8" s="17">
        <f>SUM(J9:J43)</f>
        <v>2033.6999999999998</v>
      </c>
      <c r="K8" s="17">
        <f>SUM(K9:K43)</f>
        <v>948.8000000000001</v>
      </c>
      <c r="L8" s="17">
        <f aca="true" t="shared" si="2" ref="L8:L23">K8/J8*100</f>
        <v>46.65388208683681</v>
      </c>
      <c r="M8" s="17">
        <f>SUM(M9:M43)</f>
        <v>3602.9</v>
      </c>
      <c r="N8" s="17">
        <f>SUM(N9:N43)</f>
        <v>2848.7999999999993</v>
      </c>
      <c r="O8" s="17">
        <f aca="true" t="shared" si="3" ref="O8:O20">N8/M8*100</f>
        <v>79.0696383468872</v>
      </c>
      <c r="P8" s="17">
        <f>SUM(P9:P43)</f>
        <v>7018.900000000001</v>
      </c>
      <c r="Q8" s="17">
        <f>SUM(Q9:Q43)</f>
        <v>9562.599999999999</v>
      </c>
      <c r="R8" s="17">
        <f aca="true" t="shared" si="4" ref="R8:R20">Q8/P8*100</f>
        <v>136.24072148057385</v>
      </c>
      <c r="S8" s="59">
        <f>SUMIF(S9:S43,"&gt;0",S9:S43)</f>
        <v>1421.3999999999999</v>
      </c>
      <c r="T8" s="105">
        <f>SUMIF(T9:T43,"&gt;0",T9:T43)</f>
        <v>3407.1000000000013</v>
      </c>
      <c r="U8" s="59">
        <f>SUMIF(U9:U43,"&gt;0",U9:U43)</f>
        <v>4340.600000000001</v>
      </c>
      <c r="V8" s="105">
        <f>SUMIF(T9:T43,"&lt;0",T9:T43)</f>
        <v>-416.79999999999984</v>
      </c>
      <c r="W8" s="105">
        <f>SUMIF(U9:U43,"&lt;0",U9:U43)</f>
        <v>-570.7999999999992</v>
      </c>
    </row>
    <row r="9" spans="1:22" s="27" customFormat="1" ht="36.75" customHeight="1">
      <c r="A9" s="120">
        <v>1</v>
      </c>
      <c r="B9" s="23" t="s">
        <v>56</v>
      </c>
      <c r="C9" s="41">
        <v>147.5</v>
      </c>
      <c r="D9" s="41">
        <f>J9+M9+P9</f>
        <v>723.7</v>
      </c>
      <c r="E9" s="41">
        <f>K9+N9+Q9</f>
        <v>682.2</v>
      </c>
      <c r="F9" s="92">
        <f t="shared" si="0"/>
        <v>94.26557966008015</v>
      </c>
      <c r="G9" s="18">
        <v>1229.8</v>
      </c>
      <c r="H9" s="18">
        <v>1086.1</v>
      </c>
      <c r="I9" s="18">
        <f t="shared" si="1"/>
        <v>88.31517319889413</v>
      </c>
      <c r="J9" s="18">
        <v>145.9</v>
      </c>
      <c r="K9" s="18">
        <v>49.5</v>
      </c>
      <c r="L9" s="18">
        <f t="shared" si="2"/>
        <v>33.927347498286494</v>
      </c>
      <c r="M9" s="18">
        <v>191.8</v>
      </c>
      <c r="N9" s="18">
        <v>123.1</v>
      </c>
      <c r="O9" s="18">
        <f t="shared" si="3"/>
        <v>64.18143899895725</v>
      </c>
      <c r="P9" s="18">
        <v>386</v>
      </c>
      <c r="Q9" s="18">
        <v>509.6</v>
      </c>
      <c r="R9" s="18">
        <f t="shared" si="4"/>
        <v>132.02072538860102</v>
      </c>
      <c r="S9" s="17">
        <f aca="true" t="shared" si="5" ref="S9:S23">D9-E9</f>
        <v>41.5</v>
      </c>
      <c r="T9" s="68">
        <f>G9-H9</f>
        <v>143.70000000000005</v>
      </c>
      <c r="U9" s="16">
        <f aca="true" t="shared" si="6" ref="U9:U23">C9+G9-H9</f>
        <v>291.20000000000005</v>
      </c>
      <c r="V9" s="116">
        <f>G9-H9</f>
        <v>143.70000000000005</v>
      </c>
    </row>
    <row r="10" spans="1:21" s="27" customFormat="1" ht="36.75" customHeight="1">
      <c r="A10" s="120">
        <v>2</v>
      </c>
      <c r="B10" s="53" t="s">
        <v>91</v>
      </c>
      <c r="C10" s="41">
        <v>-139.5</v>
      </c>
      <c r="D10" s="41">
        <f aca="true" t="shared" si="7" ref="D10:D20">J10+M10+P10</f>
        <v>274</v>
      </c>
      <c r="E10" s="41">
        <f aca="true" t="shared" si="8" ref="E10:E20">K10+N10+Q10</f>
        <v>312.3</v>
      </c>
      <c r="F10" s="92">
        <f t="shared" si="0"/>
        <v>113.97810218978101</v>
      </c>
      <c r="G10" s="18">
        <v>790</v>
      </c>
      <c r="H10" s="18">
        <v>770.6</v>
      </c>
      <c r="I10" s="18">
        <f t="shared" si="1"/>
        <v>97.54430379746836</v>
      </c>
      <c r="J10" s="18">
        <v>39.2</v>
      </c>
      <c r="K10" s="18">
        <v>39.9</v>
      </c>
      <c r="L10" s="18">
        <f t="shared" si="2"/>
        <v>101.78571428571428</v>
      </c>
      <c r="M10" s="18">
        <v>77.9</v>
      </c>
      <c r="N10" s="18">
        <v>73.9</v>
      </c>
      <c r="O10" s="18">
        <f t="shared" si="3"/>
        <v>94.86521181001284</v>
      </c>
      <c r="P10" s="18">
        <v>156.9</v>
      </c>
      <c r="Q10" s="18">
        <v>198.5</v>
      </c>
      <c r="R10" s="18">
        <f t="shared" si="4"/>
        <v>126.51370299553855</v>
      </c>
      <c r="S10" s="17">
        <f t="shared" si="5"/>
        <v>-38.30000000000001</v>
      </c>
      <c r="T10" s="68">
        <f>G10-H10</f>
        <v>19.399999999999977</v>
      </c>
      <c r="U10" s="16">
        <f t="shared" si="6"/>
        <v>-120.10000000000002</v>
      </c>
    </row>
    <row r="11" spans="1:21" s="27" customFormat="1" ht="36.75" customHeight="1">
      <c r="A11" s="120">
        <v>3</v>
      </c>
      <c r="B11" s="25" t="s">
        <v>108</v>
      </c>
      <c r="C11" s="41">
        <v>0</v>
      </c>
      <c r="D11" s="41">
        <f t="shared" si="7"/>
        <v>29.5</v>
      </c>
      <c r="E11" s="41">
        <f t="shared" si="8"/>
        <v>29.5</v>
      </c>
      <c r="F11" s="107">
        <f t="shared" si="0"/>
        <v>100</v>
      </c>
      <c r="G11" s="18">
        <v>0</v>
      </c>
      <c r="H11" s="18">
        <v>0</v>
      </c>
      <c r="I11" s="130" t="e">
        <f t="shared" si="1"/>
        <v>#DIV/0!</v>
      </c>
      <c r="J11" s="18">
        <v>4.7</v>
      </c>
      <c r="K11" s="18">
        <v>4.7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24.8</v>
      </c>
      <c r="Q11" s="18">
        <v>24.8</v>
      </c>
      <c r="R11" s="18">
        <f t="shared" si="4"/>
        <v>100</v>
      </c>
      <c r="S11" s="17">
        <f t="shared" si="5"/>
        <v>0</v>
      </c>
      <c r="T11" s="68">
        <f>G11-H11</f>
        <v>0</v>
      </c>
      <c r="U11" s="16">
        <f t="shared" si="6"/>
        <v>0</v>
      </c>
    </row>
    <row r="12" spans="1:21" s="27" customFormat="1" ht="24" customHeight="1">
      <c r="A12" s="120">
        <v>4</v>
      </c>
      <c r="B12" s="23" t="s">
        <v>57</v>
      </c>
      <c r="C12" s="41">
        <v>35</v>
      </c>
      <c r="D12" s="41">
        <f t="shared" si="7"/>
        <v>172</v>
      </c>
      <c r="E12" s="41">
        <f t="shared" si="8"/>
        <v>198.79999999999998</v>
      </c>
      <c r="F12" s="92">
        <f t="shared" si="0"/>
        <v>115.5813953488372</v>
      </c>
      <c r="G12" s="18">
        <v>319.6</v>
      </c>
      <c r="H12" s="18">
        <v>334.5</v>
      </c>
      <c r="I12" s="18">
        <f t="shared" si="1"/>
        <v>104.66207759699624</v>
      </c>
      <c r="J12" s="18">
        <v>7.7</v>
      </c>
      <c r="K12" s="18">
        <v>2.8</v>
      </c>
      <c r="L12" s="18">
        <f t="shared" si="2"/>
        <v>36.36363636363636</v>
      </c>
      <c r="M12" s="18">
        <v>45.3</v>
      </c>
      <c r="N12" s="18">
        <v>39.4</v>
      </c>
      <c r="O12" s="18">
        <f t="shared" si="3"/>
        <v>86.9757174392936</v>
      </c>
      <c r="P12" s="18">
        <v>119</v>
      </c>
      <c r="Q12" s="18">
        <v>156.6</v>
      </c>
      <c r="R12" s="18">
        <f t="shared" si="4"/>
        <v>131.5966386554622</v>
      </c>
      <c r="S12" s="17">
        <f t="shared" si="5"/>
        <v>-26.799999999999983</v>
      </c>
      <c r="T12" s="68">
        <f>G12-H12</f>
        <v>-14.899999999999977</v>
      </c>
      <c r="U12" s="16">
        <f t="shared" si="6"/>
        <v>20.100000000000023</v>
      </c>
    </row>
    <row r="13" spans="1:21" s="27" customFormat="1" ht="24" customHeight="1">
      <c r="A13" s="120">
        <v>5</v>
      </c>
      <c r="B13" s="23" t="s">
        <v>89</v>
      </c>
      <c r="C13" s="41">
        <v>214.4</v>
      </c>
      <c r="D13" s="41">
        <f t="shared" si="7"/>
        <v>322</v>
      </c>
      <c r="E13" s="41">
        <f t="shared" si="8"/>
        <v>336.8</v>
      </c>
      <c r="F13" s="92">
        <f t="shared" si="0"/>
        <v>104.59627329192547</v>
      </c>
      <c r="G13" s="18">
        <v>636.9</v>
      </c>
      <c r="H13" s="18">
        <v>582.5</v>
      </c>
      <c r="I13" s="18">
        <f t="shared" si="1"/>
        <v>91.45862772805778</v>
      </c>
      <c r="J13" s="18">
        <v>51.4</v>
      </c>
      <c r="K13" s="18">
        <v>7.3</v>
      </c>
      <c r="L13" s="18">
        <f t="shared" si="2"/>
        <v>14.202334630350194</v>
      </c>
      <c r="M13" s="18">
        <v>96.3</v>
      </c>
      <c r="N13" s="18">
        <v>102.1</v>
      </c>
      <c r="O13" s="18">
        <f t="shared" si="3"/>
        <v>106.02284527518174</v>
      </c>
      <c r="P13" s="18">
        <v>174.3</v>
      </c>
      <c r="Q13" s="18">
        <v>227.4</v>
      </c>
      <c r="R13" s="18">
        <f t="shared" si="4"/>
        <v>130.4647160068847</v>
      </c>
      <c r="S13" s="17">
        <f t="shared" si="5"/>
        <v>-14.800000000000011</v>
      </c>
      <c r="T13" s="68">
        <f aca="true" t="shared" si="9" ref="T13:T20">G13-H13</f>
        <v>54.39999999999998</v>
      </c>
      <c r="U13" s="16">
        <f t="shared" si="6"/>
        <v>268.79999999999995</v>
      </c>
    </row>
    <row r="14" spans="1:21" s="27" customFormat="1" ht="24" customHeight="1">
      <c r="A14" s="120">
        <v>6</v>
      </c>
      <c r="B14" s="23" t="s">
        <v>58</v>
      </c>
      <c r="C14" s="41">
        <v>-16.4</v>
      </c>
      <c r="D14" s="41">
        <f t="shared" si="7"/>
        <v>398.8</v>
      </c>
      <c r="E14" s="41">
        <f t="shared" si="8"/>
        <v>342.3</v>
      </c>
      <c r="F14" s="92">
        <f t="shared" si="0"/>
        <v>85.83249749247743</v>
      </c>
      <c r="G14" s="18">
        <v>350.8</v>
      </c>
      <c r="H14" s="18">
        <v>330.7</v>
      </c>
      <c r="I14" s="18">
        <f t="shared" si="1"/>
        <v>94.27023945267959</v>
      </c>
      <c r="J14" s="18">
        <v>79</v>
      </c>
      <c r="K14" s="18">
        <v>17.9</v>
      </c>
      <c r="L14" s="18">
        <f t="shared" si="2"/>
        <v>22.658227848101266</v>
      </c>
      <c r="M14" s="18">
        <v>116.3</v>
      </c>
      <c r="N14" s="18">
        <v>117.5</v>
      </c>
      <c r="O14" s="18">
        <f t="shared" si="3"/>
        <v>101.03181427343077</v>
      </c>
      <c r="P14" s="18">
        <v>203.5</v>
      </c>
      <c r="Q14" s="18">
        <v>206.9</v>
      </c>
      <c r="R14" s="18">
        <f t="shared" si="4"/>
        <v>101.67076167076168</v>
      </c>
      <c r="S14" s="17">
        <f t="shared" si="5"/>
        <v>56.5</v>
      </c>
      <c r="T14" s="68">
        <f t="shared" si="9"/>
        <v>20.100000000000023</v>
      </c>
      <c r="U14" s="16">
        <f t="shared" si="6"/>
        <v>3.7000000000000455</v>
      </c>
    </row>
    <row r="15" spans="1:21" s="27" customFormat="1" ht="24" customHeight="1">
      <c r="A15" s="120">
        <v>7</v>
      </c>
      <c r="B15" s="23" t="s">
        <v>59</v>
      </c>
      <c r="C15" s="41">
        <v>-67</v>
      </c>
      <c r="D15" s="41">
        <f t="shared" si="7"/>
        <v>152.9</v>
      </c>
      <c r="E15" s="41">
        <f t="shared" si="8"/>
        <v>184.3</v>
      </c>
      <c r="F15" s="92">
        <f t="shared" si="0"/>
        <v>120.53629823413996</v>
      </c>
      <c r="G15" s="18">
        <v>396.6</v>
      </c>
      <c r="H15" s="18">
        <v>311</v>
      </c>
      <c r="I15" s="18">
        <f t="shared" si="1"/>
        <v>78.416540595058</v>
      </c>
      <c r="J15" s="18">
        <v>29.1</v>
      </c>
      <c r="K15" s="18">
        <v>15</v>
      </c>
      <c r="L15" s="18">
        <f t="shared" si="2"/>
        <v>51.546391752577314</v>
      </c>
      <c r="M15" s="18">
        <v>41.3</v>
      </c>
      <c r="N15" s="18">
        <v>53.6</v>
      </c>
      <c r="O15" s="18">
        <f t="shared" si="3"/>
        <v>129.78208232445522</v>
      </c>
      <c r="P15" s="18">
        <v>82.5</v>
      </c>
      <c r="Q15" s="18">
        <v>115.7</v>
      </c>
      <c r="R15" s="18">
        <f t="shared" si="4"/>
        <v>140.24242424242425</v>
      </c>
      <c r="S15" s="17">
        <f t="shared" si="5"/>
        <v>-31.400000000000006</v>
      </c>
      <c r="T15" s="68">
        <f t="shared" si="9"/>
        <v>85.60000000000002</v>
      </c>
      <c r="U15" s="16">
        <f t="shared" si="6"/>
        <v>18.600000000000023</v>
      </c>
    </row>
    <row r="16" spans="1:21" s="27" customFormat="1" ht="24" customHeight="1">
      <c r="A16" s="120">
        <v>8</v>
      </c>
      <c r="B16" s="23" t="s">
        <v>60</v>
      </c>
      <c r="C16" s="41">
        <v>181.7</v>
      </c>
      <c r="D16" s="41">
        <f t="shared" si="7"/>
        <v>488.4</v>
      </c>
      <c r="E16" s="41">
        <f t="shared" si="8"/>
        <v>584.6</v>
      </c>
      <c r="F16" s="107">
        <f t="shared" si="0"/>
        <v>119.6969696969697</v>
      </c>
      <c r="G16" s="18">
        <v>1137.9</v>
      </c>
      <c r="H16" s="18">
        <v>958.6</v>
      </c>
      <c r="I16" s="18">
        <f t="shared" si="1"/>
        <v>84.24290359434045</v>
      </c>
      <c r="J16" s="18">
        <v>122.4</v>
      </c>
      <c r="K16" s="18">
        <v>0</v>
      </c>
      <c r="L16" s="18">
        <f t="shared" si="2"/>
        <v>0</v>
      </c>
      <c r="M16" s="18">
        <v>133.1</v>
      </c>
      <c r="N16" s="18">
        <v>158.3</v>
      </c>
      <c r="O16" s="18">
        <f t="shared" si="3"/>
        <v>118.93313298271977</v>
      </c>
      <c r="P16" s="18">
        <v>232.9</v>
      </c>
      <c r="Q16" s="18">
        <v>426.3</v>
      </c>
      <c r="R16" s="18">
        <f t="shared" si="4"/>
        <v>183.03993130098755</v>
      </c>
      <c r="S16" s="17">
        <f t="shared" si="5"/>
        <v>-96.20000000000005</v>
      </c>
      <c r="T16" s="68">
        <f t="shared" si="9"/>
        <v>179.30000000000007</v>
      </c>
      <c r="U16" s="16">
        <f t="shared" si="6"/>
        <v>361.0000000000001</v>
      </c>
    </row>
    <row r="17" spans="1:21" s="27" customFormat="1" ht="24" customHeight="1">
      <c r="A17" s="120">
        <v>9</v>
      </c>
      <c r="B17" s="23" t="s">
        <v>61</v>
      </c>
      <c r="C17" s="41">
        <f>-158.9+5.3</f>
        <v>-153.6</v>
      </c>
      <c r="D17" s="41">
        <f t="shared" si="7"/>
        <v>140.6</v>
      </c>
      <c r="E17" s="41">
        <f t="shared" si="8"/>
        <v>258.5</v>
      </c>
      <c r="F17" s="92">
        <f t="shared" si="0"/>
        <v>183.85490753911807</v>
      </c>
      <c r="G17" s="18">
        <v>165.9</v>
      </c>
      <c r="H17" s="18">
        <v>109.6</v>
      </c>
      <c r="I17" s="18">
        <f t="shared" si="1"/>
        <v>66.06389391199518</v>
      </c>
      <c r="J17" s="18">
        <v>16.7</v>
      </c>
      <c r="K17" s="18">
        <v>11</v>
      </c>
      <c r="L17" s="18">
        <f t="shared" si="2"/>
        <v>65.86826347305389</v>
      </c>
      <c r="M17" s="18">
        <v>22.8</v>
      </c>
      <c r="N17" s="18">
        <v>28.5</v>
      </c>
      <c r="O17" s="18">
        <f t="shared" si="3"/>
        <v>125</v>
      </c>
      <c r="P17" s="18">
        <v>101.1</v>
      </c>
      <c r="Q17" s="18">
        <v>219</v>
      </c>
      <c r="R17" s="18">
        <f t="shared" si="4"/>
        <v>216.61721068249258</v>
      </c>
      <c r="S17" s="17">
        <f t="shared" si="5"/>
        <v>-117.9</v>
      </c>
      <c r="T17" s="68">
        <f t="shared" si="9"/>
        <v>56.30000000000001</v>
      </c>
      <c r="U17" s="16">
        <f t="shared" si="6"/>
        <v>-97.29999999999998</v>
      </c>
    </row>
    <row r="18" spans="1:21" s="27" customFormat="1" ht="24" customHeight="1">
      <c r="A18" s="120">
        <v>10</v>
      </c>
      <c r="B18" s="25" t="s">
        <v>62</v>
      </c>
      <c r="C18" s="41">
        <v>936.4</v>
      </c>
      <c r="D18" s="41">
        <f t="shared" si="7"/>
        <v>887.6</v>
      </c>
      <c r="E18" s="41">
        <f t="shared" si="8"/>
        <v>408.4</v>
      </c>
      <c r="F18" s="92">
        <f t="shared" si="0"/>
        <v>46.01171698963496</v>
      </c>
      <c r="G18" s="18">
        <v>2766.8</v>
      </c>
      <c r="H18" s="18">
        <v>2545.3</v>
      </c>
      <c r="I18" s="18">
        <f t="shared" si="1"/>
        <v>91.99436171750759</v>
      </c>
      <c r="J18" s="18">
        <v>36.4</v>
      </c>
      <c r="K18" s="18">
        <v>1.2</v>
      </c>
      <c r="L18" s="18">
        <f t="shared" si="2"/>
        <v>3.296703296703297</v>
      </c>
      <c r="M18" s="18">
        <v>170.3</v>
      </c>
      <c r="N18" s="18">
        <v>144</v>
      </c>
      <c r="O18" s="18">
        <f t="shared" si="3"/>
        <v>84.55666470933646</v>
      </c>
      <c r="P18" s="18">
        <v>680.9</v>
      </c>
      <c r="Q18" s="18">
        <v>263.2</v>
      </c>
      <c r="R18" s="18">
        <f t="shared" si="4"/>
        <v>38.65472169187839</v>
      </c>
      <c r="S18" s="17">
        <f t="shared" si="5"/>
        <v>479.20000000000005</v>
      </c>
      <c r="T18" s="68">
        <f t="shared" si="9"/>
        <v>221.5</v>
      </c>
      <c r="U18" s="16">
        <f t="shared" si="6"/>
        <v>1157.9</v>
      </c>
    </row>
    <row r="19" spans="1:21" ht="24" customHeight="1">
      <c r="A19" s="120">
        <v>11</v>
      </c>
      <c r="B19" s="25" t="s">
        <v>63</v>
      </c>
      <c r="C19" s="41">
        <v>-21.5</v>
      </c>
      <c r="D19" s="41">
        <f t="shared" si="7"/>
        <v>88.9</v>
      </c>
      <c r="E19" s="41">
        <f t="shared" si="8"/>
        <v>168.3</v>
      </c>
      <c r="F19" s="92">
        <f t="shared" si="0"/>
        <v>189.3138357705287</v>
      </c>
      <c r="G19" s="18">
        <v>253.2</v>
      </c>
      <c r="H19" s="18">
        <v>198.7</v>
      </c>
      <c r="I19" s="18">
        <f t="shared" si="1"/>
        <v>78.47551342812005</v>
      </c>
      <c r="J19" s="18">
        <v>14.3</v>
      </c>
      <c r="K19" s="18">
        <v>40.5</v>
      </c>
      <c r="L19" s="18">
        <f t="shared" si="2"/>
        <v>283.2167832167832</v>
      </c>
      <c r="M19" s="18">
        <v>27.6</v>
      </c>
      <c r="N19" s="18">
        <v>43.3</v>
      </c>
      <c r="O19" s="18">
        <f t="shared" si="3"/>
        <v>156.88405797101447</v>
      </c>
      <c r="P19" s="18">
        <v>47</v>
      </c>
      <c r="Q19" s="18">
        <v>84.5</v>
      </c>
      <c r="R19" s="18">
        <f t="shared" si="4"/>
        <v>179.7872340425532</v>
      </c>
      <c r="S19" s="17">
        <f t="shared" si="5"/>
        <v>-79.4</v>
      </c>
      <c r="T19" s="68">
        <f t="shared" si="9"/>
        <v>54.5</v>
      </c>
      <c r="U19" s="16">
        <f t="shared" si="6"/>
        <v>33</v>
      </c>
    </row>
    <row r="20" spans="1:21" s="27" customFormat="1" ht="24" customHeight="1">
      <c r="A20" s="120">
        <v>12</v>
      </c>
      <c r="B20" s="23" t="s">
        <v>90</v>
      </c>
      <c r="C20" s="41">
        <f>-27.2+3.2</f>
        <v>-24</v>
      </c>
      <c r="D20" s="41">
        <f t="shared" si="7"/>
        <v>174.3</v>
      </c>
      <c r="E20" s="41">
        <f t="shared" si="8"/>
        <v>220</v>
      </c>
      <c r="F20" s="92">
        <f t="shared" si="0"/>
        <v>126.21916236374067</v>
      </c>
      <c r="G20" s="18">
        <f>-6.3+486.8</f>
        <v>480.5</v>
      </c>
      <c r="H20" s="18">
        <f>-56.8+486.7</f>
        <v>429.9</v>
      </c>
      <c r="I20" s="18">
        <f t="shared" si="1"/>
        <v>89.46930280957336</v>
      </c>
      <c r="J20" s="18">
        <v>17.2</v>
      </c>
      <c r="K20" s="18">
        <v>10.8</v>
      </c>
      <c r="L20" s="18">
        <f t="shared" si="2"/>
        <v>62.79069767441862</v>
      </c>
      <c r="M20" s="18">
        <v>31.4</v>
      </c>
      <c r="N20" s="18">
        <v>37.8</v>
      </c>
      <c r="O20" s="18">
        <f t="shared" si="3"/>
        <v>120.38216560509554</v>
      </c>
      <c r="P20" s="18">
        <v>125.7</v>
      </c>
      <c r="Q20" s="18">
        <v>171.4</v>
      </c>
      <c r="R20" s="18">
        <f t="shared" si="4"/>
        <v>136.35640413683373</v>
      </c>
      <c r="S20" s="17">
        <f t="shared" si="5"/>
        <v>-45.69999999999999</v>
      </c>
      <c r="T20" s="68">
        <f t="shared" si="9"/>
        <v>50.60000000000002</v>
      </c>
      <c r="U20" s="16">
        <f t="shared" si="6"/>
        <v>26.600000000000023</v>
      </c>
    </row>
    <row r="21" spans="1:21" s="27" customFormat="1" ht="24" customHeight="1">
      <c r="A21" s="120">
        <v>13</v>
      </c>
      <c r="B21" s="25" t="s">
        <v>64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18"/>
      <c r="J21" s="26"/>
      <c r="K21" s="26"/>
      <c r="L21" s="26" t="e">
        <f t="shared" si="2"/>
        <v>#DIV/0!</v>
      </c>
      <c r="M21" s="26"/>
      <c r="N21" s="26"/>
      <c r="O21" s="26"/>
      <c r="P21" s="26"/>
      <c r="Q21" s="26"/>
      <c r="R21" s="26"/>
      <c r="S21" s="35">
        <f t="shared" si="5"/>
        <v>0</v>
      </c>
      <c r="T21" s="68"/>
      <c r="U21" s="80">
        <f t="shared" si="6"/>
        <v>0</v>
      </c>
    </row>
    <row r="22" spans="1:21" ht="24" customHeight="1">
      <c r="A22" s="120">
        <v>14</v>
      </c>
      <c r="B22" s="25" t="s">
        <v>65</v>
      </c>
      <c r="C22" s="41">
        <v>0</v>
      </c>
      <c r="D22" s="34">
        <f>J22</f>
        <v>0</v>
      </c>
      <c r="E22" s="34">
        <f>K22</f>
        <v>0</v>
      </c>
      <c r="F22" s="26">
        <v>0</v>
      </c>
      <c r="G22" s="26"/>
      <c r="H22" s="26"/>
      <c r="I22" s="18"/>
      <c r="J22" s="26"/>
      <c r="K22" s="26"/>
      <c r="L22" s="26" t="e">
        <f t="shared" si="2"/>
        <v>#DIV/0!</v>
      </c>
      <c r="M22" s="26"/>
      <c r="N22" s="26"/>
      <c r="O22" s="26"/>
      <c r="P22" s="26"/>
      <c r="Q22" s="26"/>
      <c r="R22" s="26"/>
      <c r="S22" s="35">
        <f t="shared" si="5"/>
        <v>0</v>
      </c>
      <c r="T22" s="68"/>
      <c r="U22" s="80">
        <f t="shared" si="6"/>
        <v>0</v>
      </c>
    </row>
    <row r="23" spans="1:21" ht="36.75" customHeight="1">
      <c r="A23" s="120">
        <v>15</v>
      </c>
      <c r="B23" s="25" t="s">
        <v>66</v>
      </c>
      <c r="C23" s="41">
        <v>121.4</v>
      </c>
      <c r="D23" s="41">
        <f>J23+M23+P23</f>
        <v>83.5</v>
      </c>
      <c r="E23" s="41">
        <f>K23+N23+Q23</f>
        <v>105.60000000000001</v>
      </c>
      <c r="F23" s="107">
        <f t="shared" si="0"/>
        <v>126.46706586826349</v>
      </c>
      <c r="G23" s="18">
        <v>190.9</v>
      </c>
      <c r="H23" s="18">
        <v>163</v>
      </c>
      <c r="I23" s="18">
        <f>H23/G23*100</f>
        <v>85.38501833420639</v>
      </c>
      <c r="J23" s="18">
        <v>15.2</v>
      </c>
      <c r="K23" s="18">
        <v>9.9</v>
      </c>
      <c r="L23" s="18">
        <f t="shared" si="2"/>
        <v>65.13157894736842</v>
      </c>
      <c r="M23" s="18">
        <v>18.3</v>
      </c>
      <c r="N23" s="18">
        <v>18.3</v>
      </c>
      <c r="O23" s="18">
        <f>N23/M23*100</f>
        <v>100</v>
      </c>
      <c r="P23" s="18">
        <v>50</v>
      </c>
      <c r="Q23" s="18">
        <v>77.4</v>
      </c>
      <c r="R23" s="18">
        <f aca="true" t="shared" si="10" ref="R23:R29">Q23/P23*100</f>
        <v>154.8</v>
      </c>
      <c r="S23" s="17">
        <f t="shared" si="5"/>
        <v>-22.10000000000001</v>
      </c>
      <c r="T23" s="68">
        <f>G23-H23</f>
        <v>27.900000000000006</v>
      </c>
      <c r="U23" s="16">
        <f t="shared" si="6"/>
        <v>149.3</v>
      </c>
    </row>
    <row r="24" spans="1:21" ht="22.5" customHeight="1">
      <c r="A24" s="120">
        <v>16</v>
      </c>
      <c r="B24" s="25" t="s">
        <v>67</v>
      </c>
      <c r="C24" s="46"/>
      <c r="D24" s="206" t="s">
        <v>88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7"/>
    </row>
    <row r="25" spans="1:21" s="27" customFormat="1" ht="36.75" customHeight="1">
      <c r="A25" s="120">
        <v>17</v>
      </c>
      <c r="B25" s="25" t="s">
        <v>68</v>
      </c>
      <c r="C25" s="41">
        <v>238.2</v>
      </c>
      <c r="D25" s="41">
        <f aca="true" t="shared" si="11" ref="D25:E29">J25+M25+P25</f>
        <v>511.9</v>
      </c>
      <c r="E25" s="41">
        <f t="shared" si="11"/>
        <v>690.3</v>
      </c>
      <c r="F25" s="92">
        <f t="shared" si="0"/>
        <v>134.8505567493651</v>
      </c>
      <c r="G25" s="18">
        <v>746.7</v>
      </c>
      <c r="H25" s="18">
        <v>1148.6</v>
      </c>
      <c r="I25" s="18">
        <f>H25/G25*100</f>
        <v>153.82349002276683</v>
      </c>
      <c r="J25" s="18">
        <v>99.5</v>
      </c>
      <c r="K25" s="18">
        <v>40.3</v>
      </c>
      <c r="L25" s="18">
        <f>K25/J25*100</f>
        <v>40.50251256281407</v>
      </c>
      <c r="M25" s="18">
        <v>121.7</v>
      </c>
      <c r="N25" s="18">
        <v>228.1</v>
      </c>
      <c r="O25" s="18">
        <f>N25/M25*100</f>
        <v>187.42810188989316</v>
      </c>
      <c r="P25" s="18">
        <v>290.7</v>
      </c>
      <c r="Q25" s="18">
        <v>421.9</v>
      </c>
      <c r="R25" s="18">
        <f t="shared" si="10"/>
        <v>145.1324389404885</v>
      </c>
      <c r="S25" s="17">
        <f>D25-E25</f>
        <v>-178.39999999999998</v>
      </c>
      <c r="T25" s="68">
        <f>G25-H25</f>
        <v>-401.89999999999986</v>
      </c>
      <c r="U25" s="16">
        <f>C25+G25-H25</f>
        <v>-163.69999999999982</v>
      </c>
    </row>
    <row r="26" spans="1:21" s="27" customFormat="1" ht="24.75" customHeight="1">
      <c r="A26" s="120">
        <v>18</v>
      </c>
      <c r="B26" s="23" t="s">
        <v>69</v>
      </c>
      <c r="C26" s="41">
        <f>-4.5+37.2</f>
        <v>32.7</v>
      </c>
      <c r="D26" s="41">
        <f t="shared" si="11"/>
        <v>258.2</v>
      </c>
      <c r="E26" s="41">
        <f t="shared" si="11"/>
        <v>259.09999999999997</v>
      </c>
      <c r="F26" s="92">
        <f t="shared" si="0"/>
        <v>100.34856700232378</v>
      </c>
      <c r="G26" s="18">
        <f>-10.1+722.7</f>
        <v>712.6</v>
      </c>
      <c r="H26" s="18">
        <f>16.4+622.1</f>
        <v>638.5</v>
      </c>
      <c r="I26" s="18">
        <f>H26/G26*100</f>
        <v>89.60145944428852</v>
      </c>
      <c r="J26" s="18">
        <v>18.8</v>
      </c>
      <c r="K26" s="18">
        <v>6.5</v>
      </c>
      <c r="L26" s="18">
        <f>K26/J26*100</f>
        <v>34.57446808510638</v>
      </c>
      <c r="M26" s="18">
        <v>75.3</v>
      </c>
      <c r="N26" s="18">
        <v>55.9</v>
      </c>
      <c r="O26" s="18">
        <f>N26/M26*100</f>
        <v>74.23638778220452</v>
      </c>
      <c r="P26" s="18">
        <v>164.1</v>
      </c>
      <c r="Q26" s="18">
        <v>196.7</v>
      </c>
      <c r="R26" s="18">
        <f t="shared" si="10"/>
        <v>119.8659354052407</v>
      </c>
      <c r="S26" s="17">
        <f>D26-E26</f>
        <v>-0.8999999999999773</v>
      </c>
      <c r="T26" s="68">
        <f>G26-H26</f>
        <v>74.10000000000002</v>
      </c>
      <c r="U26" s="16">
        <f>C26+G26-H26</f>
        <v>106.80000000000007</v>
      </c>
    </row>
    <row r="27" spans="1:21" ht="25.5" customHeight="1">
      <c r="A27" s="120">
        <v>19</v>
      </c>
      <c r="B27" s="25" t="s">
        <v>70</v>
      </c>
      <c r="C27" s="41"/>
      <c r="D27" s="41">
        <f t="shared" si="11"/>
        <v>0</v>
      </c>
      <c r="E27" s="41">
        <f t="shared" si="11"/>
        <v>0</v>
      </c>
      <c r="F27" s="92"/>
      <c r="G27" s="26"/>
      <c r="H27" s="26"/>
      <c r="I27" s="26"/>
      <c r="J27" s="26"/>
      <c r="K27" s="26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 t="e">
        <f t="shared" si="10"/>
        <v>#DIV/0!</v>
      </c>
      <c r="S27" s="35">
        <f>D27-E27</f>
        <v>0</v>
      </c>
      <c r="T27" s="68">
        <f>G27-H27</f>
        <v>0</v>
      </c>
      <c r="U27" s="80">
        <f>C27+G27-H27</f>
        <v>0</v>
      </c>
    </row>
    <row r="28" spans="1:21" ht="27.75" customHeight="1">
      <c r="A28" s="120">
        <v>20</v>
      </c>
      <c r="B28" s="25" t="s">
        <v>105</v>
      </c>
      <c r="C28" s="41">
        <v>-11.6</v>
      </c>
      <c r="D28" s="41">
        <f t="shared" si="11"/>
        <v>21.1</v>
      </c>
      <c r="E28" s="41">
        <f t="shared" si="11"/>
        <v>22.9</v>
      </c>
      <c r="F28" s="107">
        <f t="shared" si="0"/>
        <v>108.53080568720377</v>
      </c>
      <c r="G28" s="18">
        <v>53</v>
      </c>
      <c r="H28" s="18">
        <v>31.5</v>
      </c>
      <c r="I28" s="18">
        <f>H28/G28*100</f>
        <v>59.43396226415094</v>
      </c>
      <c r="J28" s="18">
        <v>3.1</v>
      </c>
      <c r="K28" s="18">
        <v>3.1</v>
      </c>
      <c r="L28" s="18">
        <f>K28/J28*100</f>
        <v>100</v>
      </c>
      <c r="M28" s="18">
        <v>5.1</v>
      </c>
      <c r="N28" s="18">
        <v>8.1</v>
      </c>
      <c r="O28" s="18">
        <f>N28/M28*100</f>
        <v>158.82352941176472</v>
      </c>
      <c r="P28" s="18">
        <v>12.9</v>
      </c>
      <c r="Q28" s="18">
        <v>11.7</v>
      </c>
      <c r="R28" s="18">
        <f t="shared" si="10"/>
        <v>90.69767441860465</v>
      </c>
      <c r="S28" s="17">
        <f>D28-E28</f>
        <v>-1.7999999999999972</v>
      </c>
      <c r="T28" s="68">
        <f>G28-H28</f>
        <v>21.5</v>
      </c>
      <c r="U28" s="16">
        <f>C28+G28-H28</f>
        <v>9.899999999999999</v>
      </c>
    </row>
    <row r="29" spans="1:21" s="27" customFormat="1" ht="36.75" customHeight="1">
      <c r="A29" s="120">
        <v>21</v>
      </c>
      <c r="B29" s="23" t="s">
        <v>71</v>
      </c>
      <c r="C29" s="41">
        <f>248+3</f>
        <v>251</v>
      </c>
      <c r="D29" s="41">
        <f t="shared" si="11"/>
        <v>21.9</v>
      </c>
      <c r="E29" s="41">
        <f t="shared" si="11"/>
        <v>119.80000000000001</v>
      </c>
      <c r="F29" s="92">
        <f t="shared" si="0"/>
        <v>547.0319634703197</v>
      </c>
      <c r="G29" s="18">
        <v>850.8</v>
      </c>
      <c r="H29" s="18">
        <f>658+49.1</f>
        <v>707.1</v>
      </c>
      <c r="I29" s="18">
        <f>H29/G29*100</f>
        <v>83.11001410437237</v>
      </c>
      <c r="J29" s="18">
        <v>21.9</v>
      </c>
      <c r="K29" s="18">
        <v>42.6</v>
      </c>
      <c r="L29" s="18">
        <f>K29/J29*100</f>
        <v>194.5205479452055</v>
      </c>
      <c r="M29" s="18">
        <v>0</v>
      </c>
      <c r="N29" s="18">
        <v>23.8</v>
      </c>
      <c r="O29" s="18" t="e">
        <f>N29/M29*100</f>
        <v>#DIV/0!</v>
      </c>
      <c r="P29" s="18">
        <v>0</v>
      </c>
      <c r="Q29" s="18">
        <v>53.4</v>
      </c>
      <c r="R29" s="18" t="e">
        <f t="shared" si="10"/>
        <v>#DIV/0!</v>
      </c>
      <c r="S29" s="17">
        <f>D29-E29</f>
        <v>-97.9</v>
      </c>
      <c r="T29" s="68">
        <f>G29-H29</f>
        <v>143.69999999999993</v>
      </c>
      <c r="U29" s="16">
        <f>C29+G29-H29</f>
        <v>394.69999999999993</v>
      </c>
    </row>
    <row r="30" spans="1:21" ht="24" customHeight="1">
      <c r="A30" s="120">
        <v>22</v>
      </c>
      <c r="B30" s="23" t="s">
        <v>72</v>
      </c>
      <c r="C30" s="71"/>
      <c r="D30" s="200" t="s">
        <v>88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1"/>
    </row>
    <row r="31" spans="1:21" ht="24" customHeight="1">
      <c r="A31" s="120">
        <v>23</v>
      </c>
      <c r="B31" s="25" t="s">
        <v>73</v>
      </c>
      <c r="C31" s="7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3"/>
    </row>
    <row r="32" spans="1:21" ht="24" customHeight="1">
      <c r="A32" s="120">
        <v>24</v>
      </c>
      <c r="B32" s="25" t="s">
        <v>74</v>
      </c>
      <c r="C32" s="73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5"/>
    </row>
    <row r="33" spans="1:21" s="27" customFormat="1" ht="24" customHeight="1">
      <c r="A33" s="120">
        <v>25</v>
      </c>
      <c r="B33" s="25" t="s">
        <v>75</v>
      </c>
      <c r="C33" s="41"/>
      <c r="D33" s="24"/>
      <c r="E33" s="24"/>
      <c r="F33" s="18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5"/>
      <c r="T33" s="86"/>
      <c r="U33" s="16"/>
    </row>
    <row r="34" spans="1:22" s="27" customFormat="1" ht="24" customHeight="1">
      <c r="A34" s="120"/>
      <c r="B34" s="25" t="s">
        <v>76</v>
      </c>
      <c r="C34" s="41">
        <v>-41.2</v>
      </c>
      <c r="D34" s="41">
        <f>J34+M34+P34</f>
        <v>2457.1</v>
      </c>
      <c r="E34" s="41">
        <f>K34+N34+Q34</f>
        <v>1612.9</v>
      </c>
      <c r="F34" s="92">
        <f>E34/D34*100</f>
        <v>65.64242399576737</v>
      </c>
      <c r="G34" s="18">
        <v>5103.6</v>
      </c>
      <c r="H34" s="18">
        <v>4680.4</v>
      </c>
      <c r="I34" s="18">
        <f aca="true" t="shared" si="12" ref="I34:I47">H34/G34*100</f>
        <v>91.70781409201346</v>
      </c>
      <c r="J34" s="18">
        <v>274.8</v>
      </c>
      <c r="K34" s="18">
        <v>242.4</v>
      </c>
      <c r="L34" s="18">
        <f aca="true" t="shared" si="13" ref="L34:L43">K34/J34*100</f>
        <v>88.20960698689956</v>
      </c>
      <c r="M34" s="18">
        <v>762.7</v>
      </c>
      <c r="N34" s="18">
        <v>394.1</v>
      </c>
      <c r="O34" s="18">
        <f>N34/M34*100</f>
        <v>51.67169267077488</v>
      </c>
      <c r="P34" s="18">
        <v>1419.6</v>
      </c>
      <c r="Q34" s="18">
        <v>976.4</v>
      </c>
      <c r="R34" s="18">
        <f>Q34/P34*100</f>
        <v>68.77993801070724</v>
      </c>
      <c r="S34" s="17">
        <f aca="true" t="shared" si="14" ref="S34:S43">D34-E34</f>
        <v>844.1999999999998</v>
      </c>
      <c r="T34" s="68">
        <f>G34-H34</f>
        <v>423.2000000000007</v>
      </c>
      <c r="U34" s="16">
        <f aca="true" t="shared" si="15" ref="U34:U43">C34+G34-H34</f>
        <v>382.0000000000009</v>
      </c>
      <c r="V34" s="116">
        <f>G34-H34</f>
        <v>423.2000000000007</v>
      </c>
    </row>
    <row r="35" spans="1:21" ht="24.75" customHeight="1">
      <c r="A35" s="121"/>
      <c r="B35" s="25" t="s">
        <v>77</v>
      </c>
      <c r="C35" s="41">
        <v>0</v>
      </c>
      <c r="D35" s="34">
        <f>J35</f>
        <v>0</v>
      </c>
      <c r="E35" s="34">
        <f>K35</f>
        <v>0</v>
      </c>
      <c r="F35" s="26" t="e">
        <f>E35/D35*100</f>
        <v>#DIV/0!</v>
      </c>
      <c r="G35" s="26"/>
      <c r="H35" s="26"/>
      <c r="I35" s="26"/>
      <c r="J35" s="26"/>
      <c r="K35" s="26"/>
      <c r="L35" s="26" t="e">
        <f t="shared" si="13"/>
        <v>#DIV/0!</v>
      </c>
      <c r="M35" s="26"/>
      <c r="N35" s="26"/>
      <c r="O35" s="26"/>
      <c r="P35" s="26"/>
      <c r="Q35" s="26"/>
      <c r="R35" s="26"/>
      <c r="S35" s="35">
        <f t="shared" si="14"/>
        <v>0</v>
      </c>
      <c r="T35" s="68">
        <f>G35-H35</f>
        <v>0</v>
      </c>
      <c r="U35" s="80">
        <f t="shared" si="15"/>
        <v>0</v>
      </c>
    </row>
    <row r="36" spans="1:21" s="27" customFormat="1" ht="36.75" customHeight="1">
      <c r="A36" s="120">
        <v>26</v>
      </c>
      <c r="B36" s="25" t="s">
        <v>106</v>
      </c>
      <c r="C36" s="41">
        <v>452.2</v>
      </c>
      <c r="D36" s="41">
        <f aca="true" t="shared" si="16" ref="D36:E47">J36+M36+P36</f>
        <v>310.1</v>
      </c>
      <c r="E36" s="41">
        <f t="shared" si="16"/>
        <v>625.8000000000001</v>
      </c>
      <c r="F36" s="92">
        <f>E36/D36*100</f>
        <v>201.8058690744921</v>
      </c>
      <c r="G36" s="18">
        <v>1150.5</v>
      </c>
      <c r="H36" s="18">
        <v>893.7</v>
      </c>
      <c r="I36" s="18">
        <f t="shared" si="12"/>
        <v>77.67926988265972</v>
      </c>
      <c r="J36" s="18">
        <v>49.8</v>
      </c>
      <c r="K36" s="18">
        <v>27.6</v>
      </c>
      <c r="L36" s="18">
        <f t="shared" si="13"/>
        <v>55.42168674698795</v>
      </c>
      <c r="M36" s="18">
        <v>85.7</v>
      </c>
      <c r="N36" s="18">
        <v>33</v>
      </c>
      <c r="O36" s="18">
        <f aca="true" t="shared" si="17" ref="O36:O43">N36/M36*100</f>
        <v>38.50641773628938</v>
      </c>
      <c r="P36" s="18">
        <v>174.6</v>
      </c>
      <c r="Q36" s="18">
        <v>565.2</v>
      </c>
      <c r="R36" s="18">
        <f aca="true" t="shared" si="18" ref="R36:R43">Q36/P36*100</f>
        <v>323.71134020618564</v>
      </c>
      <c r="S36" s="17">
        <f t="shared" si="14"/>
        <v>-315.70000000000005</v>
      </c>
      <c r="T36" s="68">
        <f aca="true" t="shared" si="19" ref="T36:T43">G36-H36</f>
        <v>256.79999999999995</v>
      </c>
      <c r="U36" s="16">
        <f t="shared" si="15"/>
        <v>709</v>
      </c>
    </row>
    <row r="37" spans="1:21" s="27" customFormat="1" ht="24" customHeight="1">
      <c r="A37" s="120">
        <v>27</v>
      </c>
      <c r="B37" s="23" t="s">
        <v>78</v>
      </c>
      <c r="C37" s="41">
        <v>33.8</v>
      </c>
      <c r="D37" s="41">
        <f t="shared" si="16"/>
        <v>166.7</v>
      </c>
      <c r="E37" s="41">
        <f t="shared" si="16"/>
        <v>202.89999999999998</v>
      </c>
      <c r="F37" s="92">
        <f t="shared" si="0"/>
        <v>121.71565686862627</v>
      </c>
      <c r="G37" s="18">
        <v>533.8</v>
      </c>
      <c r="H37" s="18">
        <v>475.5</v>
      </c>
      <c r="I37" s="18">
        <f t="shared" si="12"/>
        <v>89.0783064818284</v>
      </c>
      <c r="J37" s="18">
        <v>27.3</v>
      </c>
      <c r="K37" s="18">
        <v>5.6</v>
      </c>
      <c r="L37" s="18">
        <f t="shared" si="13"/>
        <v>20.51282051282051</v>
      </c>
      <c r="M37" s="18">
        <v>54.7</v>
      </c>
      <c r="N37" s="18">
        <v>32.1</v>
      </c>
      <c r="O37" s="18">
        <f t="shared" si="17"/>
        <v>58.68372943327239</v>
      </c>
      <c r="P37" s="18">
        <v>84.7</v>
      </c>
      <c r="Q37" s="18">
        <v>165.2</v>
      </c>
      <c r="R37" s="18">
        <f t="shared" si="18"/>
        <v>195.04132231404955</v>
      </c>
      <c r="S37" s="17">
        <f t="shared" si="14"/>
        <v>-36.19999999999999</v>
      </c>
      <c r="T37" s="68">
        <f t="shared" si="19"/>
        <v>58.299999999999955</v>
      </c>
      <c r="U37" s="16">
        <f t="shared" si="15"/>
        <v>92.09999999999991</v>
      </c>
    </row>
    <row r="38" spans="1:21" s="27" customFormat="1" ht="24" customHeight="1">
      <c r="A38" s="120">
        <v>28</v>
      </c>
      <c r="B38" s="25" t="s">
        <v>79</v>
      </c>
      <c r="C38" s="41">
        <v>48.1</v>
      </c>
      <c r="D38" s="41">
        <f t="shared" si="16"/>
        <v>459.29999999999995</v>
      </c>
      <c r="E38" s="41">
        <f t="shared" si="16"/>
        <v>597.2</v>
      </c>
      <c r="F38" s="92">
        <f t="shared" si="0"/>
        <v>130.02394948835186</v>
      </c>
      <c r="G38" s="18">
        <v>1180.7</v>
      </c>
      <c r="H38" s="18">
        <v>1147.9</v>
      </c>
      <c r="I38" s="18">
        <f t="shared" si="12"/>
        <v>97.22198695688998</v>
      </c>
      <c r="J38" s="18">
        <v>106.7</v>
      </c>
      <c r="K38" s="18">
        <v>24.3</v>
      </c>
      <c r="L38" s="18">
        <f t="shared" si="13"/>
        <v>22.774133083411435</v>
      </c>
      <c r="M38" s="18">
        <v>141.5</v>
      </c>
      <c r="N38" s="18">
        <v>195.9</v>
      </c>
      <c r="O38" s="18">
        <f t="shared" si="17"/>
        <v>138.44522968197882</v>
      </c>
      <c r="P38" s="18">
        <v>211.1</v>
      </c>
      <c r="Q38" s="18">
        <v>377</v>
      </c>
      <c r="R38" s="18">
        <f t="shared" si="18"/>
        <v>178.58834675509237</v>
      </c>
      <c r="S38" s="17">
        <f t="shared" si="14"/>
        <v>-137.9000000000001</v>
      </c>
      <c r="T38" s="68">
        <f t="shared" si="19"/>
        <v>32.799999999999955</v>
      </c>
      <c r="U38" s="16">
        <f t="shared" si="15"/>
        <v>80.89999999999986</v>
      </c>
    </row>
    <row r="39" spans="1:21" s="27" customFormat="1" ht="24" customHeight="1">
      <c r="A39" s="120">
        <v>29</v>
      </c>
      <c r="B39" s="25" t="s">
        <v>80</v>
      </c>
      <c r="C39" s="41">
        <v>-102.1</v>
      </c>
      <c r="D39" s="41">
        <f t="shared" si="16"/>
        <v>1103.8</v>
      </c>
      <c r="E39" s="41">
        <f t="shared" si="16"/>
        <v>1216.1000000000001</v>
      </c>
      <c r="F39" s="92">
        <f t="shared" si="0"/>
        <v>110.17394455517307</v>
      </c>
      <c r="G39" s="18">
        <v>2000.5</v>
      </c>
      <c r="H39" s="18">
        <v>1828.5</v>
      </c>
      <c r="I39" s="18">
        <f t="shared" si="12"/>
        <v>91.40214946263434</v>
      </c>
      <c r="J39" s="18">
        <v>245.1</v>
      </c>
      <c r="K39" s="18">
        <v>187.8</v>
      </c>
      <c r="L39" s="18">
        <f t="shared" si="13"/>
        <v>76.6217870257038</v>
      </c>
      <c r="M39" s="18">
        <v>360.7</v>
      </c>
      <c r="N39" s="18">
        <v>541.6</v>
      </c>
      <c r="O39" s="18">
        <f t="shared" si="17"/>
        <v>150.1524812863876</v>
      </c>
      <c r="P39" s="18">
        <v>498</v>
      </c>
      <c r="Q39" s="18">
        <v>486.7</v>
      </c>
      <c r="R39" s="18">
        <f t="shared" si="18"/>
        <v>97.73092369477911</v>
      </c>
      <c r="S39" s="17">
        <f t="shared" si="14"/>
        <v>-112.30000000000018</v>
      </c>
      <c r="T39" s="68">
        <f t="shared" si="19"/>
        <v>172</v>
      </c>
      <c r="U39" s="16">
        <f t="shared" si="15"/>
        <v>69.90000000000009</v>
      </c>
    </row>
    <row r="40" spans="1:21" ht="36.75" customHeight="1">
      <c r="A40" s="120">
        <v>30</v>
      </c>
      <c r="B40" s="25" t="s">
        <v>107</v>
      </c>
      <c r="C40" s="41">
        <v>-143.2</v>
      </c>
      <c r="D40" s="41">
        <f t="shared" si="16"/>
        <v>1274.6</v>
      </c>
      <c r="E40" s="41">
        <f t="shared" si="16"/>
        <v>1585.3</v>
      </c>
      <c r="F40" s="92">
        <f t="shared" si="0"/>
        <v>124.37627490977563</v>
      </c>
      <c r="G40" s="18">
        <v>2222.9</v>
      </c>
      <c r="H40" s="18">
        <v>2076.8</v>
      </c>
      <c r="I40" s="18">
        <f t="shared" si="12"/>
        <v>93.42750461109362</v>
      </c>
      <c r="J40" s="18">
        <v>236</v>
      </c>
      <c r="K40" s="18">
        <v>113.6</v>
      </c>
      <c r="L40" s="18">
        <f t="shared" si="13"/>
        <v>48.135593220338976</v>
      </c>
      <c r="M40" s="18">
        <v>368.4</v>
      </c>
      <c r="N40" s="18">
        <v>118.1</v>
      </c>
      <c r="O40" s="18">
        <f t="shared" si="17"/>
        <v>32.05754614549403</v>
      </c>
      <c r="P40" s="18">
        <v>670.2</v>
      </c>
      <c r="Q40" s="18">
        <v>1353.6</v>
      </c>
      <c r="R40" s="18">
        <f t="shared" si="18"/>
        <v>201.96956132497758</v>
      </c>
      <c r="S40" s="17">
        <f t="shared" si="14"/>
        <v>-310.70000000000005</v>
      </c>
      <c r="T40" s="68">
        <f t="shared" si="19"/>
        <v>146.0999999999999</v>
      </c>
      <c r="U40" s="16">
        <f t="shared" si="15"/>
        <v>2.900000000000091</v>
      </c>
    </row>
    <row r="41" spans="1:21" ht="24.75" customHeight="1">
      <c r="A41" s="120">
        <v>31</v>
      </c>
      <c r="B41" s="25" t="s">
        <v>81</v>
      </c>
      <c r="C41" s="41">
        <v>144.5</v>
      </c>
      <c r="D41" s="41">
        <f t="shared" si="16"/>
        <v>361</v>
      </c>
      <c r="E41" s="41">
        <f t="shared" si="16"/>
        <v>419.8</v>
      </c>
      <c r="F41" s="92">
        <f t="shared" si="0"/>
        <v>116.28808864265929</v>
      </c>
      <c r="G41" s="18">
        <v>833.7</v>
      </c>
      <c r="H41" s="18">
        <v>816</v>
      </c>
      <c r="I41" s="18">
        <f t="shared" si="12"/>
        <v>97.87693414897444</v>
      </c>
      <c r="J41" s="18">
        <v>69.8</v>
      </c>
      <c r="K41" s="18">
        <v>39.3</v>
      </c>
      <c r="L41" s="18">
        <f t="shared" si="13"/>
        <v>56.30372492836676</v>
      </c>
      <c r="M41" s="18">
        <v>93.9</v>
      </c>
      <c r="N41" s="18">
        <v>69</v>
      </c>
      <c r="O41" s="18">
        <f t="shared" si="17"/>
        <v>73.48242811501598</v>
      </c>
      <c r="P41" s="18">
        <v>197.3</v>
      </c>
      <c r="Q41" s="18">
        <v>311.5</v>
      </c>
      <c r="R41" s="18">
        <f t="shared" si="18"/>
        <v>157.88139888494678</v>
      </c>
      <c r="S41" s="17">
        <f t="shared" si="14"/>
        <v>-58.80000000000001</v>
      </c>
      <c r="T41" s="68">
        <f t="shared" si="19"/>
        <v>17.700000000000045</v>
      </c>
      <c r="U41" s="16">
        <f t="shared" si="15"/>
        <v>162.20000000000005</v>
      </c>
    </row>
    <row r="42" spans="1:21" s="27" customFormat="1" ht="36.75" customHeight="1">
      <c r="A42" s="120">
        <v>32</v>
      </c>
      <c r="B42" s="23" t="s">
        <v>82</v>
      </c>
      <c r="C42" s="41">
        <v>-147</v>
      </c>
      <c r="D42" s="41">
        <f t="shared" si="16"/>
        <v>580.4</v>
      </c>
      <c r="E42" s="41">
        <f t="shared" si="16"/>
        <v>753.9</v>
      </c>
      <c r="F42" s="92">
        <f t="shared" si="0"/>
        <v>129.8931771192281</v>
      </c>
      <c r="G42" s="18">
        <v>1638.4</v>
      </c>
      <c r="H42" s="18">
        <v>1596.5</v>
      </c>
      <c r="I42" s="18">
        <f t="shared" si="12"/>
        <v>97.442626953125</v>
      </c>
      <c r="J42" s="18">
        <v>53.5</v>
      </c>
      <c r="K42" s="18">
        <v>0</v>
      </c>
      <c r="L42" s="18">
        <f t="shared" si="13"/>
        <v>0</v>
      </c>
      <c r="M42" s="18">
        <v>217.9</v>
      </c>
      <c r="N42" s="18">
        <v>78.6</v>
      </c>
      <c r="O42" s="18">
        <f t="shared" si="17"/>
        <v>36.071592473611744</v>
      </c>
      <c r="P42" s="18">
        <v>309</v>
      </c>
      <c r="Q42" s="18">
        <v>675.3</v>
      </c>
      <c r="R42" s="18">
        <f t="shared" si="18"/>
        <v>218.54368932038835</v>
      </c>
      <c r="S42" s="17">
        <f t="shared" si="14"/>
        <v>-173.5</v>
      </c>
      <c r="T42" s="68">
        <f t="shared" si="19"/>
        <v>41.90000000000009</v>
      </c>
      <c r="U42" s="16">
        <f t="shared" si="15"/>
        <v>-105.09999999999991</v>
      </c>
    </row>
    <row r="43" spans="1:21" s="27" customFormat="1" ht="25.5" customHeight="1">
      <c r="A43" s="120">
        <v>33</v>
      </c>
      <c r="B43" s="25" t="s">
        <v>83</v>
      </c>
      <c r="C43" s="41">
        <v>-1190.3</v>
      </c>
      <c r="D43" s="41">
        <f t="shared" si="16"/>
        <v>1193.1999999999998</v>
      </c>
      <c r="E43" s="41">
        <f t="shared" si="16"/>
        <v>1422.6</v>
      </c>
      <c r="F43" s="92">
        <f t="shared" si="0"/>
        <v>119.22561180020115</v>
      </c>
      <c r="G43" s="18">
        <v>3308.9</v>
      </c>
      <c r="H43" s="18">
        <v>2203.2</v>
      </c>
      <c r="I43" s="18">
        <f t="shared" si="12"/>
        <v>66.5840611683641</v>
      </c>
      <c r="J43" s="18">
        <v>248.2</v>
      </c>
      <c r="K43" s="18">
        <v>5.2</v>
      </c>
      <c r="L43" s="18">
        <f t="shared" si="13"/>
        <v>2.09508460918614</v>
      </c>
      <c r="M43" s="18">
        <v>342.9</v>
      </c>
      <c r="N43" s="18">
        <v>130.7</v>
      </c>
      <c r="O43" s="18">
        <f t="shared" si="17"/>
        <v>38.11606882473024</v>
      </c>
      <c r="P43" s="18">
        <v>602.1</v>
      </c>
      <c r="Q43" s="18">
        <v>1286.7</v>
      </c>
      <c r="R43" s="18">
        <f t="shared" si="18"/>
        <v>213.70204285002492</v>
      </c>
      <c r="S43" s="17">
        <f t="shared" si="14"/>
        <v>-229.4000000000001</v>
      </c>
      <c r="T43" s="68">
        <f t="shared" si="19"/>
        <v>1105.7000000000003</v>
      </c>
      <c r="U43" s="16">
        <f t="shared" si="15"/>
        <v>-84.59999999999945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-929.6</v>
      </c>
      <c r="D44" s="42">
        <f>D45+D46+D47</f>
        <v>89636</v>
      </c>
      <c r="E44" s="42">
        <f>E45+E46+E47</f>
        <v>96555.70000000001</v>
      </c>
      <c r="F44" s="40">
        <f>E44/D44*100</f>
        <v>107.71977776786115</v>
      </c>
      <c r="G44" s="16">
        <f>G45+G46+G47</f>
        <v>222133.5</v>
      </c>
      <c r="H44" s="16">
        <f>H45+H46+H47</f>
        <v>217400.9</v>
      </c>
      <c r="I44" s="17">
        <f t="shared" si="12"/>
        <v>97.86947938964632</v>
      </c>
      <c r="J44" s="16">
        <f>J45+J46+J47</f>
        <v>14142.800000000001</v>
      </c>
      <c r="K44" s="16">
        <f>K45+K46+K47</f>
        <v>13808.2</v>
      </c>
      <c r="L44" s="17">
        <f>K44/J44*100</f>
        <v>97.6341318550782</v>
      </c>
      <c r="M44" s="16">
        <f>M45+M46+M47</f>
        <v>28528.100000000002</v>
      </c>
      <c r="N44" s="16">
        <f>N45+N46+N47</f>
        <v>19226</v>
      </c>
      <c r="O44" s="17">
        <f>N44/M44*100</f>
        <v>67.3932017905153</v>
      </c>
      <c r="P44" s="16">
        <f>P45+P46+P47</f>
        <v>46965.1</v>
      </c>
      <c r="Q44" s="16">
        <f>Q45+Q46+Q47</f>
        <v>63521.5</v>
      </c>
      <c r="R44" s="17">
        <f>Q44/P44*100</f>
        <v>135.25255987957016</v>
      </c>
      <c r="S44" s="59">
        <f>SUMIF(S45:S47,"&gt;0",S45:S47)</f>
        <v>510.7000000000003</v>
      </c>
      <c r="T44" s="59">
        <f>SUMIF(T45:T47,"&gt;0",T45:T47)</f>
        <v>5127</v>
      </c>
      <c r="U44" s="59">
        <f>SUMIF(U45:U47,"&gt;0",U45:U47)</f>
        <v>3803</v>
      </c>
      <c r="V44" s="7">
        <v>-279.2</v>
      </c>
      <c r="W44" s="7">
        <v>0</v>
      </c>
    </row>
    <row r="45" spans="1:21" s="28" customFormat="1" ht="24.75" customHeight="1">
      <c r="A45" s="122"/>
      <c r="B45" s="23" t="s">
        <v>115</v>
      </c>
      <c r="C45" s="41">
        <v>-1887</v>
      </c>
      <c r="D45" s="41">
        <f t="shared" si="16"/>
        <v>85633</v>
      </c>
      <c r="E45" s="41">
        <f t="shared" si="16"/>
        <v>93061</v>
      </c>
      <c r="F45" s="92">
        <f>E45/D45*100</f>
        <v>108.6742260577114</v>
      </c>
      <c r="G45" s="18">
        <v>212143</v>
      </c>
      <c r="H45" s="18">
        <f>199079+7937</f>
        <v>207016</v>
      </c>
      <c r="I45" s="18">
        <f t="shared" si="12"/>
        <v>97.58323395068422</v>
      </c>
      <c r="J45" s="18">
        <v>13395</v>
      </c>
      <c r="K45" s="18">
        <f>8323+1750+3322</f>
        <v>13395</v>
      </c>
      <c r="L45" s="18">
        <f>K45/J45*100</f>
        <v>100</v>
      </c>
      <c r="M45" s="18">
        <v>27264</v>
      </c>
      <c r="N45" s="18">
        <v>18271</v>
      </c>
      <c r="O45" s="18">
        <f>N45/M45*100</f>
        <v>67.01511150234741</v>
      </c>
      <c r="P45" s="18">
        <v>44974</v>
      </c>
      <c r="Q45" s="18">
        <v>61395</v>
      </c>
      <c r="R45" s="18">
        <f>Q45/P45*100</f>
        <v>136.51220705296393</v>
      </c>
      <c r="S45" s="17">
        <f>D45-E45</f>
        <v>-7428</v>
      </c>
      <c r="T45" s="86">
        <f>G45-H45</f>
        <v>5127</v>
      </c>
      <c r="U45" s="24">
        <f>C45+G45-H45</f>
        <v>3240</v>
      </c>
    </row>
    <row r="46" spans="1:21" s="28" customFormat="1" ht="24.75" customHeight="1">
      <c r="A46" s="122"/>
      <c r="B46" s="23" t="s">
        <v>86</v>
      </c>
      <c r="C46" s="41">
        <v>0</v>
      </c>
      <c r="D46" s="41">
        <f t="shared" si="16"/>
        <v>212.2</v>
      </c>
      <c r="E46" s="41">
        <f t="shared" si="16"/>
        <v>214.6</v>
      </c>
      <c r="F46" s="107">
        <f>E46/D46*100</f>
        <v>101.13100848256363</v>
      </c>
      <c r="G46" s="18">
        <v>230.3</v>
      </c>
      <c r="H46" s="18">
        <v>230.3</v>
      </c>
      <c r="I46" s="18">
        <f t="shared" si="12"/>
        <v>100</v>
      </c>
      <c r="J46" s="18">
        <v>13.7</v>
      </c>
      <c r="K46" s="18">
        <v>0</v>
      </c>
      <c r="L46" s="103">
        <f>K46/J46*100</f>
        <v>0</v>
      </c>
      <c r="M46" s="115">
        <v>47.4</v>
      </c>
      <c r="N46" s="115">
        <f>58.6+2.5</f>
        <v>61.1</v>
      </c>
      <c r="O46" s="18">
        <f>N46/M46*100</f>
        <v>128.90295358649792</v>
      </c>
      <c r="P46" s="18">
        <v>151.1</v>
      </c>
      <c r="Q46" s="18">
        <v>153.5</v>
      </c>
      <c r="R46" s="18">
        <f>Q46/P46*100</f>
        <v>101.58835208471211</v>
      </c>
      <c r="S46" s="17">
        <f>D46-E46</f>
        <v>-2.4000000000000057</v>
      </c>
      <c r="T46" s="86">
        <f>G46-H46</f>
        <v>0</v>
      </c>
      <c r="U46" s="24">
        <f>C46+G46-H46</f>
        <v>0</v>
      </c>
    </row>
    <row r="47" spans="1:23" s="7" customFormat="1" ht="24.75" customHeight="1">
      <c r="A47" s="122"/>
      <c r="B47" s="23" t="s">
        <v>77</v>
      </c>
      <c r="C47" s="41">
        <v>957.4</v>
      </c>
      <c r="D47" s="41">
        <f t="shared" si="16"/>
        <v>3790.8</v>
      </c>
      <c r="E47" s="41">
        <f t="shared" si="16"/>
        <v>3280.1</v>
      </c>
      <c r="F47" s="92">
        <f>E47/D47*100</f>
        <v>86.52790967605782</v>
      </c>
      <c r="G47" s="18">
        <v>9760.2</v>
      </c>
      <c r="H47" s="18">
        <v>10154.6</v>
      </c>
      <c r="I47" s="18">
        <f t="shared" si="12"/>
        <v>104.04090080121308</v>
      </c>
      <c r="J47" s="18">
        <v>734.1</v>
      </c>
      <c r="K47" s="18">
        <v>413.2</v>
      </c>
      <c r="L47" s="18">
        <f>K47/J47*100</f>
        <v>56.28660945375289</v>
      </c>
      <c r="M47" s="18">
        <v>1216.7</v>
      </c>
      <c r="N47" s="18">
        <v>893.9</v>
      </c>
      <c r="O47" s="18">
        <f>N47/M47*100</f>
        <v>73.46922002136928</v>
      </c>
      <c r="P47" s="18">
        <v>1840</v>
      </c>
      <c r="Q47" s="18">
        <v>1973</v>
      </c>
      <c r="R47" s="18">
        <f>Q47/P47*100</f>
        <v>107.22826086956523</v>
      </c>
      <c r="S47" s="17">
        <f>D47-E47</f>
        <v>510.7000000000003</v>
      </c>
      <c r="T47" s="86">
        <f>G47-H47</f>
        <v>-394.39999999999964</v>
      </c>
      <c r="U47" s="24">
        <f>C47+G47-H47</f>
        <v>563</v>
      </c>
      <c r="V47" s="7">
        <v>-279.2</v>
      </c>
      <c r="W47" s="7">
        <v>0</v>
      </c>
    </row>
    <row r="48" spans="1:23" s="7" customFormat="1" ht="24.75" customHeight="1">
      <c r="A48" s="122"/>
      <c r="B48" s="6" t="s">
        <v>87</v>
      </c>
      <c r="C48" s="42">
        <f>C8+C44</f>
        <v>-150.0999999999998</v>
      </c>
      <c r="D48" s="42">
        <f>D8+D44</f>
        <v>102291.5</v>
      </c>
      <c r="E48" s="42">
        <f>E8+E44</f>
        <v>109915.90000000001</v>
      </c>
      <c r="F48" s="40">
        <f>E48/D48*100</f>
        <v>107.45360073906436</v>
      </c>
      <c r="G48" s="16">
        <f>G8+G44</f>
        <v>251188.5</v>
      </c>
      <c r="H48" s="16">
        <f>H8+H44</f>
        <v>243465.6</v>
      </c>
      <c r="I48" s="17">
        <f>H48/G48*100</f>
        <v>96.92545638036773</v>
      </c>
      <c r="J48" s="16">
        <f>J8+J44</f>
        <v>16176.5</v>
      </c>
      <c r="K48" s="16">
        <f>K8+K44</f>
        <v>14757</v>
      </c>
      <c r="L48" s="17">
        <f>K48/J48*100</f>
        <v>91.22492504559082</v>
      </c>
      <c r="M48" s="16">
        <f>M8+M44</f>
        <v>32131.000000000004</v>
      </c>
      <c r="N48" s="16">
        <f>N8+N44</f>
        <v>22074.8</v>
      </c>
      <c r="O48" s="17">
        <f>N48/M48*100</f>
        <v>68.70249914412871</v>
      </c>
      <c r="P48" s="16">
        <f>P8+P44</f>
        <v>53984</v>
      </c>
      <c r="Q48" s="16">
        <f>Q8+Q44</f>
        <v>73084.1</v>
      </c>
      <c r="R48" s="17">
        <f>Q48/P48*100</f>
        <v>135.3810388263189</v>
      </c>
      <c r="S48" s="59">
        <f>S8+S44</f>
        <v>1932.1000000000001</v>
      </c>
      <c r="T48" s="108">
        <f>T44+T8</f>
        <v>8534.100000000002</v>
      </c>
      <c r="U48" s="59">
        <f>U8+U44</f>
        <v>8143.600000000001</v>
      </c>
      <c r="V48" s="108">
        <f>V44+V8</f>
        <v>-695.9999999999998</v>
      </c>
      <c r="W48" s="108">
        <f>W44+W8</f>
        <v>-570.7999999999992</v>
      </c>
    </row>
    <row r="49" spans="1:21" ht="17.25" customHeight="1">
      <c r="A49" s="241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</row>
    <row r="50" spans="1:21" ht="4.5" customHeight="1">
      <c r="A50" s="243"/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</row>
    <row r="51" spans="1:21" ht="18.75" customHeight="1" hidden="1">
      <c r="A51" s="120"/>
      <c r="B51" s="7" t="s">
        <v>92</v>
      </c>
      <c r="C51" s="20"/>
      <c r="D51" s="63">
        <f>D48-E48</f>
        <v>-7624.400000000009</v>
      </c>
      <c r="E51" s="20"/>
      <c r="F51" s="20"/>
      <c r="G51" s="85"/>
      <c r="H51" s="3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67"/>
      <c r="T51" s="87"/>
      <c r="U51" s="31"/>
    </row>
    <row r="52" spans="2:21" ht="7.5" customHeight="1" hidden="1">
      <c r="B52" s="7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67"/>
      <c r="T52" s="87"/>
      <c r="U52" s="20"/>
    </row>
    <row r="53" spans="1:21" ht="18.75" customHeight="1" hidden="1">
      <c r="A53" s="120"/>
      <c r="B53" s="7" t="s">
        <v>93</v>
      </c>
      <c r="C53" s="20"/>
      <c r="D53" s="20"/>
      <c r="E53" s="20"/>
      <c r="F53" s="20"/>
      <c r="G53" s="31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67"/>
      <c r="T53" s="9"/>
      <c r="U53" s="20"/>
    </row>
    <row r="54" spans="1:20" ht="24.75" customHeight="1">
      <c r="A54" s="125"/>
      <c r="B54" s="236"/>
      <c r="C54" s="236"/>
      <c r="D54" s="236"/>
      <c r="E54" s="236"/>
      <c r="F54" s="236"/>
      <c r="T54" s="88"/>
    </row>
    <row r="55" spans="1:23" s="150" customFormat="1" ht="52.5" customHeight="1">
      <c r="A55" s="142"/>
      <c r="B55" s="231" t="s">
        <v>119</v>
      </c>
      <c r="C55" s="231"/>
      <c r="D55" s="231"/>
      <c r="E55" s="231"/>
      <c r="F55" s="231"/>
      <c r="G55" s="231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118</v>
      </c>
      <c r="V55" s="148"/>
      <c r="W55" s="149"/>
    </row>
    <row r="56" spans="1:21" ht="49.5" customHeight="1" hidden="1">
      <c r="A56" s="125"/>
      <c r="B56" s="244" t="s">
        <v>40</v>
      </c>
      <c r="C56" s="244"/>
      <c r="D56" s="244"/>
      <c r="E56" s="244"/>
      <c r="F56" s="244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T56" s="89"/>
      <c r="U56" s="30"/>
    </row>
    <row r="57" spans="1:28" ht="73.5" customHeight="1" hidden="1">
      <c r="A57" s="181" t="s">
        <v>116</v>
      </c>
      <c r="B57" s="181"/>
      <c r="C57" s="181"/>
      <c r="D57" s="18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9"/>
      <c r="W57" s="9"/>
      <c r="X57" s="9"/>
      <c r="Y57" s="9"/>
      <c r="Z57" s="9"/>
      <c r="AA57" s="64"/>
      <c r="AB57" s="76" t="s">
        <v>111</v>
      </c>
    </row>
    <row r="58" spans="2:21" ht="18.75">
      <c r="B58" s="1" t="s">
        <v>44</v>
      </c>
      <c r="C58" s="43">
        <v>91.5</v>
      </c>
      <c r="D58" s="9">
        <v>46.8</v>
      </c>
      <c r="E58" s="9">
        <v>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64"/>
      <c r="T58" s="86"/>
      <c r="U58" s="37">
        <f>C58+D58-E58</f>
        <v>138.3</v>
      </c>
    </row>
    <row r="59" spans="3:21" ht="18.75">
      <c r="C59" s="43"/>
      <c r="D59" s="9">
        <f>SUM(D57:D58)</f>
        <v>46.8</v>
      </c>
      <c r="E59" s="9">
        <v>453.9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64"/>
      <c r="T59" s="90"/>
      <c r="U59" s="9"/>
    </row>
    <row r="60" spans="3:21" ht="18.75">
      <c r="C60" s="43"/>
      <c r="D60" s="9">
        <f>D59/D36*100</f>
        <v>15.091905836826827</v>
      </c>
      <c r="E60" s="9">
        <f>E59/E36*100</f>
        <v>72.53116011505271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64"/>
      <c r="T60" s="90"/>
      <c r="U60" s="9"/>
    </row>
    <row r="61" spans="2:21" ht="18.75">
      <c r="B61" s="1" t="s">
        <v>45</v>
      </c>
      <c r="C61" s="43">
        <f>C10+C18+C21+C27+C37+C39+C41</f>
        <v>873.0999999999999</v>
      </c>
      <c r="D61" s="9">
        <f>D10+D18+D21+D27+D37+D39+D41</f>
        <v>2793.1</v>
      </c>
      <c r="E61" s="9">
        <f>E10+E18+E21+E27+E37+E39+E41</f>
        <v>2559.5000000000005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64"/>
      <c r="T61" s="90"/>
      <c r="U61" s="9">
        <f>U10+U18+U21+U27+U37+U39+U41</f>
        <v>1362.0000000000002</v>
      </c>
    </row>
    <row r="62" spans="2:21" ht="18.75">
      <c r="B62" s="1" t="s">
        <v>46</v>
      </c>
      <c r="C62" s="43">
        <f>C12+C14+C15+C17+C19+C20+C26</f>
        <v>-214.8</v>
      </c>
      <c r="D62" s="9">
        <f>D12+D14+D15+D17+D19+D20+D26</f>
        <v>1385.7</v>
      </c>
      <c r="E62" s="9">
        <f>E12+E14+E15+E17+E19+E20+E26</f>
        <v>1631.3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4"/>
      <c r="T62" s="90"/>
      <c r="U62" s="9">
        <f>U12+U14+U15+U17+U19+U20+U26</f>
        <v>111.5000000000002</v>
      </c>
    </row>
    <row r="63" spans="3:21" ht="18.75"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64"/>
      <c r="T63" s="90"/>
      <c r="U63" s="9"/>
    </row>
    <row r="64" ht="18.75">
      <c r="T64" s="90"/>
    </row>
    <row r="65" ht="18.75">
      <c r="T65" s="90"/>
    </row>
    <row r="66" ht="18.75">
      <c r="T66" s="90"/>
    </row>
    <row r="67" ht="18.75">
      <c r="T67" s="90"/>
    </row>
    <row r="68" ht="18.75">
      <c r="T68" s="90"/>
    </row>
    <row r="69" ht="18.75">
      <c r="T69" s="90"/>
    </row>
    <row r="70" ht="18.75">
      <c r="T70" s="90"/>
    </row>
    <row r="71" ht="18.75">
      <c r="T71" s="90"/>
    </row>
    <row r="72" ht="18.75">
      <c r="T72" s="90"/>
    </row>
    <row r="73" ht="18.75">
      <c r="T73" s="90"/>
    </row>
    <row r="74" ht="18.75">
      <c r="T74" s="90"/>
    </row>
    <row r="75" ht="18.75">
      <c r="T75" s="90"/>
    </row>
    <row r="76" ht="18.75">
      <c r="T76" s="90"/>
    </row>
    <row r="77" ht="18.75">
      <c r="T77" s="90"/>
    </row>
    <row r="78" ht="18.75">
      <c r="T78" s="90"/>
    </row>
    <row r="79" ht="18.75">
      <c r="T79" s="90"/>
    </row>
    <row r="80" ht="18.75">
      <c r="T80" s="90"/>
    </row>
    <row r="81" ht="18.75">
      <c r="T81" s="90"/>
    </row>
    <row r="82" ht="18.75">
      <c r="T82" s="90"/>
    </row>
    <row r="83" ht="18.75">
      <c r="T83" s="90"/>
    </row>
    <row r="84" ht="18.75">
      <c r="T84" s="90"/>
    </row>
    <row r="85" ht="18.75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20">
    <mergeCell ref="A57:D57"/>
    <mergeCell ref="B3:U3"/>
    <mergeCell ref="A49:U50"/>
    <mergeCell ref="G5:I5"/>
    <mergeCell ref="D24:U24"/>
    <mergeCell ref="D30:U32"/>
    <mergeCell ref="B56:F56"/>
    <mergeCell ref="P5:R5"/>
    <mergeCell ref="T5:T7"/>
    <mergeCell ref="B55:G55"/>
    <mergeCell ref="B54:F54"/>
    <mergeCell ref="C5:C6"/>
    <mergeCell ref="G1:U1"/>
    <mergeCell ref="B2:U2"/>
    <mergeCell ref="B4:F4"/>
    <mergeCell ref="D5:F5"/>
    <mergeCell ref="J5:L5"/>
    <mergeCell ref="S5:S7"/>
    <mergeCell ref="U5:U7"/>
    <mergeCell ref="M5:O5"/>
  </mergeCells>
  <printOptions horizontalCentered="1"/>
  <pageMargins left="0" right="0" top="0" bottom="0" header="0" footer="0"/>
  <pageSetup fitToHeight="1" fitToWidth="1" horizontalDpi="600" verticalDpi="6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view="pageBreakPreview" zoomScale="75" zoomScaleNormal="75" zoomScaleSheetLayoutView="75" zoomScalePageLayoutView="0" workbookViewId="0" topLeftCell="A1">
      <pane xSplit="2" ySplit="7" topLeftCell="C44" activePane="bottomRight" state="frozen"/>
      <selection pane="topLeft" activeCell="T8" sqref="T8"/>
      <selection pane="topRight" activeCell="T8" sqref="T8"/>
      <selection pane="bottomLeft" activeCell="T8" sqref="T8"/>
      <selection pane="bottomRight" activeCell="G54" sqref="G54"/>
    </sheetView>
  </sheetViews>
  <sheetFormatPr defaultColWidth="7.875" defaultRowHeight="12.75"/>
  <cols>
    <col min="1" max="1" width="6.625" style="14" customWidth="1"/>
    <col min="2" max="2" width="56.75390625" style="1" customWidth="1"/>
    <col min="3" max="3" width="16.875" style="39" customWidth="1"/>
    <col min="4" max="5" width="15.875" style="1" hidden="1" customWidth="1"/>
    <col min="6" max="6" width="12.00390625" style="1" hidden="1" customWidth="1"/>
    <col min="7" max="7" width="19.875" style="1" customWidth="1"/>
    <col min="8" max="8" width="19.75390625" style="1" customWidth="1"/>
    <col min="9" max="9" width="13.75390625" style="1" customWidth="1"/>
    <col min="10" max="11" width="14.75390625" style="1" hidden="1" customWidth="1"/>
    <col min="12" max="12" width="12.0039062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0.875" style="1" hidden="1" customWidth="1"/>
    <col min="20" max="20" width="22.625" style="74" customWidth="1"/>
    <col min="21" max="21" width="23.875" style="1" customWidth="1"/>
    <col min="22" max="22" width="12.875" style="1" customWidth="1"/>
    <col min="23" max="23" width="23.25390625" style="1" customWidth="1"/>
    <col min="24" max="16384" width="7.875" style="1" customWidth="1"/>
  </cols>
  <sheetData>
    <row r="1" spans="7:21" ht="18.75"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2:21" ht="18.75">
      <c r="B2" s="212" t="s">
        <v>95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2:21" ht="43.5" customHeight="1">
      <c r="B3" s="212" t="s">
        <v>122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2:21" ht="18.75">
      <c r="B4" s="77"/>
      <c r="C4" s="77"/>
      <c r="D4" s="77"/>
      <c r="E4" s="77"/>
      <c r="F4" s="77"/>
      <c r="U4" s="74" t="s">
        <v>54</v>
      </c>
    </row>
    <row r="5" spans="1:21" ht="35.25" customHeight="1">
      <c r="A5" s="117"/>
      <c r="B5" s="3"/>
      <c r="C5" s="214" t="s">
        <v>1</v>
      </c>
      <c r="D5" s="237" t="s">
        <v>110</v>
      </c>
      <c r="E5" s="238"/>
      <c r="F5" s="239"/>
      <c r="G5" s="216" t="s">
        <v>121</v>
      </c>
      <c r="H5" s="217"/>
      <c r="I5" s="218"/>
      <c r="J5" s="188" t="s">
        <v>109</v>
      </c>
      <c r="K5" s="189"/>
      <c r="L5" s="190"/>
      <c r="M5" s="188" t="s">
        <v>112</v>
      </c>
      <c r="N5" s="189"/>
      <c r="O5" s="190"/>
      <c r="P5" s="188" t="s">
        <v>113</v>
      </c>
      <c r="Q5" s="189"/>
      <c r="R5" s="190"/>
      <c r="S5" s="197" t="s">
        <v>114</v>
      </c>
      <c r="T5" s="197" t="s">
        <v>123</v>
      </c>
      <c r="U5" s="191" t="s">
        <v>124</v>
      </c>
    </row>
    <row r="6" spans="1:21" ht="21" customHeight="1">
      <c r="A6" s="4" t="s">
        <v>39</v>
      </c>
      <c r="B6" s="4" t="s">
        <v>50</v>
      </c>
      <c r="C6" s="215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8"/>
      <c r="T6" s="198"/>
      <c r="U6" s="192"/>
    </row>
    <row r="7" spans="1:21" ht="41.25" customHeight="1">
      <c r="A7" s="118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9"/>
      <c r="T7" s="199"/>
      <c r="U7" s="193"/>
    </row>
    <row r="8" spans="1:23" s="7" customFormat="1" ht="36" customHeight="1">
      <c r="A8" s="119"/>
      <c r="B8" s="75" t="s">
        <v>55</v>
      </c>
      <c r="C8" s="47">
        <f>SUM(C9:C43)</f>
        <v>15062.8</v>
      </c>
      <c r="D8" s="40">
        <f>SUM(D9:D43)</f>
        <v>64961.00000000001</v>
      </c>
      <c r="E8" s="40">
        <f>SUM(E9:E43)</f>
        <v>55952.50000000001</v>
      </c>
      <c r="F8" s="40">
        <f aca="true" t="shared" si="0" ref="F8:F29">E8/D8*100</f>
        <v>86.13244869998923</v>
      </c>
      <c r="G8" s="17">
        <f>SUM(G9:G43)</f>
        <v>167730</v>
      </c>
      <c r="H8" s="17">
        <f>SUM(H9:H43)</f>
        <v>172508.40000000005</v>
      </c>
      <c r="I8" s="17">
        <f aca="true" t="shared" si="1" ref="I8:I29">H8/G8*100</f>
        <v>102.84886424610986</v>
      </c>
      <c r="J8" s="17">
        <f>SUM(J9:J43)</f>
        <v>13810.299999999997</v>
      </c>
      <c r="K8" s="17">
        <f>SUM(K9:K43)</f>
        <v>7269.700000000001</v>
      </c>
      <c r="L8" s="17">
        <f aca="true" t="shared" si="2" ref="L8:L23">K8/J8*100</f>
        <v>52.639696458440454</v>
      </c>
      <c r="M8" s="17">
        <f>SUM(M9:M43)</f>
        <v>17920.300000000003</v>
      </c>
      <c r="N8" s="17">
        <f>SUM(N9:N43)</f>
        <v>14846.2</v>
      </c>
      <c r="O8" s="17">
        <f aca="true" t="shared" si="3" ref="O8:O29">N8/M8*100</f>
        <v>82.84571128831547</v>
      </c>
      <c r="P8" s="17">
        <f>SUM(P9:P43)</f>
        <v>33230.4</v>
      </c>
      <c r="Q8" s="17">
        <f>SUM(Q9:Q43)</f>
        <v>33836.600000000006</v>
      </c>
      <c r="R8" s="17">
        <f aca="true" t="shared" si="4" ref="R8:R22">Q8/P8*100</f>
        <v>101.82423323222112</v>
      </c>
      <c r="S8" s="59">
        <f>SUMIF(S9:S43,"&gt;0",S9:S49)</f>
        <v>13036.200000000003</v>
      </c>
      <c r="T8" s="105">
        <f>SUMIF(T9:T43,"&gt;0",T9:T43)</f>
        <v>6731.299999999997</v>
      </c>
      <c r="U8" s="59">
        <f>SUMIF(U9:U43,"&gt;0",U9:U43)</f>
        <v>11324.199999999997</v>
      </c>
      <c r="V8" s="105">
        <f>SUMIF(T9:T43,"&lt;0",T9:T43)</f>
        <v>-11509.699999999999</v>
      </c>
      <c r="W8" s="105">
        <f>SUMIF(U9:U43,"&lt;0",U9:U43)</f>
        <v>-1039.8000000000006</v>
      </c>
    </row>
    <row r="9" spans="1:23" ht="39" customHeight="1">
      <c r="A9" s="120">
        <v>1</v>
      </c>
      <c r="B9" s="23" t="s">
        <v>56</v>
      </c>
      <c r="C9" s="41">
        <v>996.6</v>
      </c>
      <c r="D9" s="41">
        <f>J9+M9+P9</f>
        <v>5762.5</v>
      </c>
      <c r="E9" s="41">
        <f>K9+N9+Q9</f>
        <v>5527.2</v>
      </c>
      <c r="F9" s="92">
        <f t="shared" si="0"/>
        <v>95.91670281995661</v>
      </c>
      <c r="G9" s="18">
        <v>14045.6</v>
      </c>
      <c r="H9" s="18">
        <v>15007.4</v>
      </c>
      <c r="I9" s="18">
        <f t="shared" si="1"/>
        <v>106.84769607563933</v>
      </c>
      <c r="J9" s="18">
        <v>1174.8</v>
      </c>
      <c r="K9" s="18">
        <v>987.1</v>
      </c>
      <c r="L9" s="18">
        <f t="shared" si="2"/>
        <v>84.02281239359891</v>
      </c>
      <c r="M9" s="18">
        <v>1565</v>
      </c>
      <c r="N9" s="18">
        <v>1642.1</v>
      </c>
      <c r="O9" s="18">
        <f t="shared" si="3"/>
        <v>104.92651757188499</v>
      </c>
      <c r="P9" s="18">
        <v>3022.7</v>
      </c>
      <c r="Q9" s="18">
        <v>2898</v>
      </c>
      <c r="R9" s="18">
        <f t="shared" si="4"/>
        <v>95.87454924405333</v>
      </c>
      <c r="S9" s="17">
        <f>D9-E9</f>
        <v>235.30000000000018</v>
      </c>
      <c r="T9" s="68">
        <f>G9-H9</f>
        <v>-961.7999999999993</v>
      </c>
      <c r="U9" s="16">
        <f aca="true" t="shared" si="5" ref="U9:U23">C9+G9-H9</f>
        <v>34.80000000000109</v>
      </c>
      <c r="W9" s="19">
        <f>G9-H9</f>
        <v>-961.7999999999993</v>
      </c>
    </row>
    <row r="10" spans="1:23" ht="36.75" customHeight="1">
      <c r="A10" s="120">
        <v>2</v>
      </c>
      <c r="B10" s="53" t="s">
        <v>91</v>
      </c>
      <c r="C10" s="41">
        <v>43.7</v>
      </c>
      <c r="D10" s="41">
        <f aca="true" t="shared" si="6" ref="D10:D29">J10+M10+P10</f>
        <v>1314.5</v>
      </c>
      <c r="E10" s="41">
        <f aca="true" t="shared" si="7" ref="E10:E29">K10+N10+Q10</f>
        <v>1484.8000000000002</v>
      </c>
      <c r="F10" s="92">
        <f t="shared" si="0"/>
        <v>112.95549638645875</v>
      </c>
      <c r="G10" s="18">
        <v>3234.7</v>
      </c>
      <c r="H10" s="18">
        <v>3408.2</v>
      </c>
      <c r="I10" s="18">
        <f t="shared" si="1"/>
        <v>105.3637122453396</v>
      </c>
      <c r="J10" s="18">
        <v>264.2</v>
      </c>
      <c r="K10" s="18">
        <v>158.6</v>
      </c>
      <c r="L10" s="18">
        <f t="shared" si="2"/>
        <v>60.03028009084027</v>
      </c>
      <c r="M10" s="18">
        <v>345.3</v>
      </c>
      <c r="N10" s="18">
        <v>575.7</v>
      </c>
      <c r="O10" s="18">
        <f t="shared" si="3"/>
        <v>166.72458731537793</v>
      </c>
      <c r="P10" s="18">
        <v>705</v>
      </c>
      <c r="Q10" s="18">
        <v>750.5</v>
      </c>
      <c r="R10" s="18">
        <f t="shared" si="4"/>
        <v>106.45390070921985</v>
      </c>
      <c r="S10" s="17">
        <f>D10-E10</f>
        <v>-170.30000000000018</v>
      </c>
      <c r="T10" s="68">
        <f>G10-H10</f>
        <v>-173.5</v>
      </c>
      <c r="U10" s="16">
        <f t="shared" si="5"/>
        <v>-129.80000000000018</v>
      </c>
      <c r="W10" s="19">
        <f aca="true" t="shared" si="8" ref="W10:W43">G10-H10</f>
        <v>-173.5</v>
      </c>
    </row>
    <row r="11" spans="1:23" ht="36" customHeight="1">
      <c r="A11" s="120">
        <v>3</v>
      </c>
      <c r="B11" s="25" t="s">
        <v>108</v>
      </c>
      <c r="C11" s="41">
        <v>0</v>
      </c>
      <c r="D11" s="41">
        <f t="shared" si="6"/>
        <v>402.79999999999995</v>
      </c>
      <c r="E11" s="41">
        <f t="shared" si="7"/>
        <v>426</v>
      </c>
      <c r="F11" s="92">
        <f t="shared" si="0"/>
        <v>105.75968222442901</v>
      </c>
      <c r="G11" s="18">
        <v>1512.7</v>
      </c>
      <c r="H11" s="18">
        <v>1512.7</v>
      </c>
      <c r="I11" s="18">
        <f t="shared" si="1"/>
        <v>100</v>
      </c>
      <c r="J11" s="18">
        <v>55.4</v>
      </c>
      <c r="K11" s="18">
        <v>78.6</v>
      </c>
      <c r="L11" s="18">
        <f t="shared" si="2"/>
        <v>141.87725631768953</v>
      </c>
      <c r="M11" s="18"/>
      <c r="N11" s="18"/>
      <c r="O11" s="18" t="e">
        <f t="shared" si="3"/>
        <v>#DIV/0!</v>
      </c>
      <c r="P11" s="18">
        <v>347.4</v>
      </c>
      <c r="Q11" s="18">
        <v>347.4</v>
      </c>
      <c r="R11" s="18">
        <f t="shared" si="4"/>
        <v>100</v>
      </c>
      <c r="S11" s="17">
        <v>0</v>
      </c>
      <c r="T11" s="68">
        <f>G11-H11</f>
        <v>0</v>
      </c>
      <c r="U11" s="16">
        <f t="shared" si="5"/>
        <v>0</v>
      </c>
      <c r="W11" s="19">
        <f t="shared" si="8"/>
        <v>0</v>
      </c>
    </row>
    <row r="12" spans="1:23" ht="24" customHeight="1">
      <c r="A12" s="120">
        <v>4</v>
      </c>
      <c r="B12" s="23" t="s">
        <v>57</v>
      </c>
      <c r="C12" s="41">
        <v>130.1</v>
      </c>
      <c r="D12" s="41">
        <f t="shared" si="6"/>
        <v>526.1</v>
      </c>
      <c r="E12" s="41">
        <f t="shared" si="7"/>
        <v>563</v>
      </c>
      <c r="F12" s="92">
        <f t="shared" si="0"/>
        <v>107.01387568903249</v>
      </c>
      <c r="G12" s="18">
        <v>1191.1</v>
      </c>
      <c r="H12" s="18">
        <v>1323.1</v>
      </c>
      <c r="I12" s="18">
        <f t="shared" si="1"/>
        <v>111.0821929309042</v>
      </c>
      <c r="J12" s="18">
        <v>158.9</v>
      </c>
      <c r="K12" s="18">
        <v>0</v>
      </c>
      <c r="L12" s="18">
        <f t="shared" si="2"/>
        <v>0</v>
      </c>
      <c r="M12" s="18">
        <v>69.6</v>
      </c>
      <c r="N12" s="18">
        <v>165</v>
      </c>
      <c r="O12" s="18">
        <f t="shared" si="3"/>
        <v>237.06896551724142</v>
      </c>
      <c r="P12" s="18">
        <v>297.6</v>
      </c>
      <c r="Q12" s="18">
        <v>398</v>
      </c>
      <c r="R12" s="18">
        <f t="shared" si="4"/>
        <v>133.73655913978493</v>
      </c>
      <c r="S12" s="17">
        <f aca="true" t="shared" si="9" ref="S12:S23">D12-E12</f>
        <v>-36.89999999999998</v>
      </c>
      <c r="T12" s="68">
        <f>G12-H12</f>
        <v>-132</v>
      </c>
      <c r="U12" s="16">
        <f t="shared" si="5"/>
        <v>-1.900000000000091</v>
      </c>
      <c r="W12" s="19">
        <f t="shared" si="8"/>
        <v>-132</v>
      </c>
    </row>
    <row r="13" spans="1:23" s="27" customFormat="1" ht="24" customHeight="1">
      <c r="A13" s="120">
        <v>5</v>
      </c>
      <c r="B13" s="23" t="s">
        <v>89</v>
      </c>
      <c r="C13" s="41">
        <v>1268.3</v>
      </c>
      <c r="D13" s="41">
        <f t="shared" si="6"/>
        <v>1849.7</v>
      </c>
      <c r="E13" s="41">
        <f t="shared" si="7"/>
        <v>845</v>
      </c>
      <c r="F13" s="92">
        <f t="shared" si="0"/>
        <v>45.68308374330973</v>
      </c>
      <c r="G13" s="18">
        <v>3956.4</v>
      </c>
      <c r="H13" s="18">
        <v>4628.7</v>
      </c>
      <c r="I13" s="18">
        <f t="shared" si="1"/>
        <v>116.99272065514104</v>
      </c>
      <c r="J13" s="18">
        <v>348</v>
      </c>
      <c r="K13" s="18">
        <v>1</v>
      </c>
      <c r="L13" s="18">
        <f t="shared" si="2"/>
        <v>0.28735632183908044</v>
      </c>
      <c r="M13" s="18">
        <v>531.2</v>
      </c>
      <c r="N13" s="18">
        <v>27.9</v>
      </c>
      <c r="O13" s="18">
        <f t="shared" si="3"/>
        <v>5.252259036144578</v>
      </c>
      <c r="P13" s="18">
        <v>970.5</v>
      </c>
      <c r="Q13" s="18">
        <v>816.1</v>
      </c>
      <c r="R13" s="18">
        <f t="shared" si="4"/>
        <v>84.09067490984029</v>
      </c>
      <c r="S13" s="17">
        <f t="shared" si="9"/>
        <v>1004.7</v>
      </c>
      <c r="T13" s="68">
        <f>G13-H13</f>
        <v>-672.2999999999997</v>
      </c>
      <c r="U13" s="16">
        <f t="shared" si="5"/>
        <v>596</v>
      </c>
      <c r="W13" s="19">
        <f t="shared" si="8"/>
        <v>-672.2999999999997</v>
      </c>
    </row>
    <row r="14" spans="1:23" s="27" customFormat="1" ht="24" customHeight="1">
      <c r="A14" s="120">
        <v>6</v>
      </c>
      <c r="B14" s="23" t="s">
        <v>58</v>
      </c>
      <c r="C14" s="41">
        <v>435.4</v>
      </c>
      <c r="D14" s="41">
        <f t="shared" si="6"/>
        <v>1251.2</v>
      </c>
      <c r="E14" s="41">
        <f t="shared" si="7"/>
        <v>930.0999999999999</v>
      </c>
      <c r="F14" s="92">
        <f t="shared" si="0"/>
        <v>74.33663682864449</v>
      </c>
      <c r="G14" s="18">
        <v>2344.5</v>
      </c>
      <c r="H14" s="18">
        <v>1923.7</v>
      </c>
      <c r="I14" s="18">
        <f t="shared" si="1"/>
        <v>82.05161015141822</v>
      </c>
      <c r="J14" s="18">
        <v>253.5</v>
      </c>
      <c r="K14" s="18">
        <v>0</v>
      </c>
      <c r="L14" s="18">
        <f t="shared" si="2"/>
        <v>0</v>
      </c>
      <c r="M14" s="18">
        <v>386.5</v>
      </c>
      <c r="N14" s="18">
        <v>223.2</v>
      </c>
      <c r="O14" s="18">
        <f t="shared" si="3"/>
        <v>57.74902975420439</v>
      </c>
      <c r="P14" s="18">
        <v>611.2</v>
      </c>
      <c r="Q14" s="18">
        <v>706.9</v>
      </c>
      <c r="R14" s="18">
        <f t="shared" si="4"/>
        <v>115.65772251308898</v>
      </c>
      <c r="S14" s="17">
        <f t="shared" si="9"/>
        <v>321.10000000000014</v>
      </c>
      <c r="T14" s="68">
        <f aca="true" t="shared" si="10" ref="T14:T23">G14-H14</f>
        <v>420.79999999999995</v>
      </c>
      <c r="U14" s="16">
        <f t="shared" si="5"/>
        <v>856.2</v>
      </c>
      <c r="W14" s="19">
        <f t="shared" si="8"/>
        <v>420.79999999999995</v>
      </c>
    </row>
    <row r="15" spans="1:23" ht="24" customHeight="1">
      <c r="A15" s="120">
        <v>7</v>
      </c>
      <c r="B15" s="23" t="s">
        <v>59</v>
      </c>
      <c r="C15" s="41">
        <v>-0.1</v>
      </c>
      <c r="D15" s="41">
        <f t="shared" si="6"/>
        <v>1335.2</v>
      </c>
      <c r="E15" s="41">
        <f t="shared" si="7"/>
        <v>1335.2</v>
      </c>
      <c r="F15" s="92">
        <f t="shared" si="0"/>
        <v>100</v>
      </c>
      <c r="G15" s="18">
        <v>2749.8</v>
      </c>
      <c r="H15" s="18">
        <v>2425.9</v>
      </c>
      <c r="I15" s="18">
        <f t="shared" si="1"/>
        <v>88.2209615244745</v>
      </c>
      <c r="J15" s="18">
        <v>254.4</v>
      </c>
      <c r="K15" s="18">
        <v>255.6</v>
      </c>
      <c r="L15" s="18">
        <f t="shared" si="2"/>
        <v>100.47169811320755</v>
      </c>
      <c r="M15" s="18">
        <v>313.1</v>
      </c>
      <c r="N15" s="18">
        <v>311.9</v>
      </c>
      <c r="O15" s="18">
        <f t="shared" si="3"/>
        <v>99.61673586713509</v>
      </c>
      <c r="P15" s="18">
        <v>767.7</v>
      </c>
      <c r="Q15" s="18">
        <v>767.7</v>
      </c>
      <c r="R15" s="18">
        <f t="shared" si="4"/>
        <v>100</v>
      </c>
      <c r="S15" s="17">
        <f t="shared" si="9"/>
        <v>0</v>
      </c>
      <c r="T15" s="68">
        <f t="shared" si="10"/>
        <v>323.9000000000001</v>
      </c>
      <c r="U15" s="16">
        <f t="shared" si="5"/>
        <v>323.8000000000002</v>
      </c>
      <c r="W15" s="19">
        <f t="shared" si="8"/>
        <v>323.9000000000001</v>
      </c>
    </row>
    <row r="16" spans="1:23" s="27" customFormat="1" ht="24" customHeight="1">
      <c r="A16" s="120">
        <v>8</v>
      </c>
      <c r="B16" s="23" t="s">
        <v>60</v>
      </c>
      <c r="C16" s="41">
        <v>-558.5</v>
      </c>
      <c r="D16" s="41">
        <f t="shared" si="6"/>
        <v>3378</v>
      </c>
      <c r="E16" s="41">
        <f t="shared" si="7"/>
        <v>4745.8</v>
      </c>
      <c r="F16" s="92">
        <f t="shared" si="0"/>
        <v>140.49141503848432</v>
      </c>
      <c r="G16" s="18">
        <v>7705.7</v>
      </c>
      <c r="H16" s="18">
        <v>6753.2</v>
      </c>
      <c r="I16" s="18">
        <f t="shared" si="1"/>
        <v>87.63902046536978</v>
      </c>
      <c r="J16" s="18">
        <v>799.1</v>
      </c>
      <c r="K16" s="18">
        <v>521.8</v>
      </c>
      <c r="L16" s="18">
        <f t="shared" si="2"/>
        <v>65.2984607683644</v>
      </c>
      <c r="M16" s="18">
        <v>976.2</v>
      </c>
      <c r="N16" s="18">
        <f>883.3+212.4</f>
        <v>1095.7</v>
      </c>
      <c r="O16" s="18">
        <f t="shared" si="3"/>
        <v>112.24134398688794</v>
      </c>
      <c r="P16" s="18">
        <v>1602.7</v>
      </c>
      <c r="Q16" s="18">
        <v>3128.3</v>
      </c>
      <c r="R16" s="18">
        <f t="shared" si="4"/>
        <v>195.18936794159856</v>
      </c>
      <c r="S16" s="17">
        <f t="shared" si="9"/>
        <v>-1367.8000000000002</v>
      </c>
      <c r="T16" s="68">
        <f t="shared" si="10"/>
        <v>952.5</v>
      </c>
      <c r="U16" s="16">
        <f t="shared" si="5"/>
        <v>394</v>
      </c>
      <c r="W16" s="19">
        <f t="shared" si="8"/>
        <v>952.5</v>
      </c>
    </row>
    <row r="17" spans="1:23" s="27" customFormat="1" ht="24" customHeight="1">
      <c r="A17" s="120">
        <v>9</v>
      </c>
      <c r="B17" s="23" t="s">
        <v>61</v>
      </c>
      <c r="C17" s="41">
        <f>31.1+415.7</f>
        <v>446.8</v>
      </c>
      <c r="D17" s="41">
        <f t="shared" si="6"/>
        <v>1429.2</v>
      </c>
      <c r="E17" s="41">
        <f t="shared" si="7"/>
        <v>1327.3</v>
      </c>
      <c r="F17" s="92">
        <f t="shared" si="0"/>
        <v>92.87013713965855</v>
      </c>
      <c r="G17" s="18">
        <v>3519</v>
      </c>
      <c r="H17" s="18">
        <v>3547.8</v>
      </c>
      <c r="I17" s="18">
        <f t="shared" si="1"/>
        <v>100.81841432225065</v>
      </c>
      <c r="J17" s="18">
        <v>113</v>
      </c>
      <c r="K17" s="18">
        <v>0</v>
      </c>
      <c r="L17" s="18">
        <f t="shared" si="2"/>
        <v>0</v>
      </c>
      <c r="M17" s="18">
        <v>351.1</v>
      </c>
      <c r="N17" s="18">
        <v>334.8</v>
      </c>
      <c r="O17" s="18">
        <f t="shared" si="3"/>
        <v>95.35744802050698</v>
      </c>
      <c r="P17" s="18">
        <v>965.1</v>
      </c>
      <c r="Q17" s="18">
        <v>992.5</v>
      </c>
      <c r="R17" s="18">
        <f t="shared" si="4"/>
        <v>102.8390840327427</v>
      </c>
      <c r="S17" s="17">
        <f t="shared" si="9"/>
        <v>101.90000000000009</v>
      </c>
      <c r="T17" s="68">
        <f t="shared" si="10"/>
        <v>-28.800000000000182</v>
      </c>
      <c r="U17" s="16">
        <f t="shared" si="5"/>
        <v>418</v>
      </c>
      <c r="W17" s="19">
        <f t="shared" si="8"/>
        <v>-28.800000000000182</v>
      </c>
    </row>
    <row r="18" spans="1:23" ht="24" customHeight="1">
      <c r="A18" s="120">
        <v>10</v>
      </c>
      <c r="B18" s="25" t="s">
        <v>62</v>
      </c>
      <c r="C18" s="41">
        <v>219.5</v>
      </c>
      <c r="D18" s="41">
        <f t="shared" si="6"/>
        <v>815.9</v>
      </c>
      <c r="E18" s="41">
        <f t="shared" si="7"/>
        <v>439.3</v>
      </c>
      <c r="F18" s="92">
        <f t="shared" si="0"/>
        <v>53.84238264493199</v>
      </c>
      <c r="G18" s="18">
        <v>2887.4</v>
      </c>
      <c r="H18" s="18">
        <v>3084</v>
      </c>
      <c r="I18" s="18">
        <f t="shared" si="1"/>
        <v>106.8088938145044</v>
      </c>
      <c r="J18" s="18">
        <v>160.5</v>
      </c>
      <c r="K18" s="18">
        <v>17.3</v>
      </c>
      <c r="L18" s="18">
        <f t="shared" si="2"/>
        <v>10.778816199376948</v>
      </c>
      <c r="M18" s="18">
        <v>232.7</v>
      </c>
      <c r="N18" s="18">
        <v>376.3</v>
      </c>
      <c r="O18" s="18">
        <f t="shared" si="3"/>
        <v>161.71035668242374</v>
      </c>
      <c r="P18" s="18">
        <v>422.7</v>
      </c>
      <c r="Q18" s="18">
        <v>45.7</v>
      </c>
      <c r="R18" s="18">
        <f t="shared" si="4"/>
        <v>10.811450201088244</v>
      </c>
      <c r="S18" s="17">
        <f t="shared" si="9"/>
        <v>376.59999999999997</v>
      </c>
      <c r="T18" s="68">
        <f t="shared" si="10"/>
        <v>-196.5999999999999</v>
      </c>
      <c r="U18" s="16">
        <f t="shared" si="5"/>
        <v>22.90000000000009</v>
      </c>
      <c r="W18" s="19">
        <f t="shared" si="8"/>
        <v>-196.5999999999999</v>
      </c>
    </row>
    <row r="19" spans="1:23" ht="24" customHeight="1">
      <c r="A19" s="120">
        <v>11</v>
      </c>
      <c r="B19" s="25" t="s">
        <v>63</v>
      </c>
      <c r="C19" s="41">
        <v>0</v>
      </c>
      <c r="D19" s="41">
        <f t="shared" si="6"/>
        <v>566.9</v>
      </c>
      <c r="E19" s="41">
        <f t="shared" si="7"/>
        <v>606.1</v>
      </c>
      <c r="F19" s="92">
        <f t="shared" si="0"/>
        <v>106.91479978832245</v>
      </c>
      <c r="G19" s="18">
        <v>1002.3</v>
      </c>
      <c r="H19" s="18">
        <v>1002.3</v>
      </c>
      <c r="I19" s="18">
        <f t="shared" si="1"/>
        <v>100</v>
      </c>
      <c r="J19" s="18">
        <v>115.8</v>
      </c>
      <c r="K19" s="18">
        <v>72.9</v>
      </c>
      <c r="L19" s="18">
        <f t="shared" si="2"/>
        <v>62.95336787564767</v>
      </c>
      <c r="M19" s="18">
        <v>142.4</v>
      </c>
      <c r="N19" s="18">
        <v>187.2</v>
      </c>
      <c r="O19" s="18">
        <f t="shared" si="3"/>
        <v>131.46067415730334</v>
      </c>
      <c r="P19" s="18">
        <v>308.7</v>
      </c>
      <c r="Q19" s="18">
        <v>346</v>
      </c>
      <c r="R19" s="18">
        <f t="shared" si="4"/>
        <v>112.08292840945902</v>
      </c>
      <c r="S19" s="17">
        <f t="shared" si="9"/>
        <v>-39.200000000000045</v>
      </c>
      <c r="T19" s="68">
        <f t="shared" si="10"/>
        <v>0</v>
      </c>
      <c r="U19" s="16">
        <f t="shared" si="5"/>
        <v>0</v>
      </c>
      <c r="W19" s="19">
        <f t="shared" si="8"/>
        <v>0</v>
      </c>
    </row>
    <row r="20" spans="1:23" ht="24" customHeight="1">
      <c r="A20" s="120">
        <v>12</v>
      </c>
      <c r="B20" s="23" t="s">
        <v>90</v>
      </c>
      <c r="C20" s="41">
        <f>-62.2+182.3</f>
        <v>120.10000000000001</v>
      </c>
      <c r="D20" s="41">
        <f t="shared" si="6"/>
        <v>1962.9</v>
      </c>
      <c r="E20" s="41">
        <f t="shared" si="7"/>
        <v>2289.7</v>
      </c>
      <c r="F20" s="92">
        <f t="shared" si="0"/>
        <v>116.64883590605734</v>
      </c>
      <c r="G20" s="18">
        <f>1242.1+2973.7</f>
        <v>4215.799999999999</v>
      </c>
      <c r="H20" s="18">
        <f>1294.7+3119.7</f>
        <v>4414.4</v>
      </c>
      <c r="I20" s="18">
        <f t="shared" si="1"/>
        <v>104.71084966079987</v>
      </c>
      <c r="J20" s="18">
        <v>431.1</v>
      </c>
      <c r="K20" s="18">
        <v>438</v>
      </c>
      <c r="L20" s="18">
        <f t="shared" si="2"/>
        <v>101.60055671537927</v>
      </c>
      <c r="M20" s="18">
        <v>590.3</v>
      </c>
      <c r="N20" s="18">
        <v>890.6</v>
      </c>
      <c r="O20" s="18">
        <f t="shared" si="3"/>
        <v>150.87243774352027</v>
      </c>
      <c r="P20" s="18">
        <v>941.5</v>
      </c>
      <c r="Q20" s="18">
        <v>961.1</v>
      </c>
      <c r="R20" s="18">
        <f t="shared" si="4"/>
        <v>102.0817843866171</v>
      </c>
      <c r="S20" s="17">
        <f t="shared" si="9"/>
        <v>-326.7999999999997</v>
      </c>
      <c r="T20" s="68">
        <f t="shared" si="10"/>
        <v>-198.60000000000036</v>
      </c>
      <c r="U20" s="16">
        <f t="shared" si="5"/>
        <v>-78.5</v>
      </c>
      <c r="W20" s="19">
        <f t="shared" si="8"/>
        <v>-198.60000000000036</v>
      </c>
    </row>
    <row r="21" spans="1:23" ht="24" customHeight="1">
      <c r="A21" s="120">
        <v>13</v>
      </c>
      <c r="B21" s="25" t="s">
        <v>64</v>
      </c>
      <c r="C21" s="41">
        <v>-15.6</v>
      </c>
      <c r="D21" s="41">
        <f t="shared" si="6"/>
        <v>588.3</v>
      </c>
      <c r="E21" s="41">
        <f t="shared" si="7"/>
        <v>662.9000000000001</v>
      </c>
      <c r="F21" s="92">
        <f t="shared" si="0"/>
        <v>112.68060513343534</v>
      </c>
      <c r="G21" s="18">
        <v>0</v>
      </c>
      <c r="H21" s="18">
        <v>-11.2</v>
      </c>
      <c r="I21" s="126" t="e">
        <f t="shared" si="1"/>
        <v>#DIV/0!</v>
      </c>
      <c r="J21" s="18">
        <v>127.6</v>
      </c>
      <c r="K21" s="18">
        <v>94.6</v>
      </c>
      <c r="L21" s="18">
        <f t="shared" si="2"/>
        <v>74.13793103448276</v>
      </c>
      <c r="M21" s="18">
        <v>155.9</v>
      </c>
      <c r="N21" s="18">
        <v>200</v>
      </c>
      <c r="O21" s="18">
        <f t="shared" si="3"/>
        <v>128.28736369467606</v>
      </c>
      <c r="P21" s="18">
        <v>304.8</v>
      </c>
      <c r="Q21" s="18">
        <v>368.3</v>
      </c>
      <c r="R21" s="18">
        <f t="shared" si="4"/>
        <v>120.83333333333333</v>
      </c>
      <c r="S21" s="17">
        <f t="shared" si="9"/>
        <v>-74.60000000000014</v>
      </c>
      <c r="T21" s="68">
        <f t="shared" si="10"/>
        <v>11.2</v>
      </c>
      <c r="U21" s="16">
        <f t="shared" si="5"/>
        <v>-4.4</v>
      </c>
      <c r="W21" s="19">
        <f t="shared" si="8"/>
        <v>11.2</v>
      </c>
    </row>
    <row r="22" spans="1:23" ht="24" customHeight="1">
      <c r="A22" s="120">
        <v>14</v>
      </c>
      <c r="B22" s="25" t="s">
        <v>65</v>
      </c>
      <c r="C22" s="41">
        <v>36.3</v>
      </c>
      <c r="D22" s="41">
        <f t="shared" si="6"/>
        <v>129.3</v>
      </c>
      <c r="E22" s="41">
        <f t="shared" si="7"/>
        <v>145.8</v>
      </c>
      <c r="F22" s="92">
        <f t="shared" si="0"/>
        <v>112.76102088167053</v>
      </c>
      <c r="G22" s="18">
        <v>313.1</v>
      </c>
      <c r="H22" s="18">
        <v>235.5</v>
      </c>
      <c r="I22" s="18">
        <f t="shared" si="1"/>
        <v>75.21558607473649</v>
      </c>
      <c r="J22" s="18">
        <v>31.4</v>
      </c>
      <c r="K22" s="18">
        <v>28.7</v>
      </c>
      <c r="L22" s="18">
        <f t="shared" si="2"/>
        <v>91.40127388535032</v>
      </c>
      <c r="M22" s="18">
        <v>39</v>
      </c>
      <c r="N22" s="18">
        <v>41.7</v>
      </c>
      <c r="O22" s="18">
        <f t="shared" si="3"/>
        <v>106.92307692307692</v>
      </c>
      <c r="P22" s="18">
        <v>58.9</v>
      </c>
      <c r="Q22" s="18">
        <v>75.4</v>
      </c>
      <c r="R22" s="18">
        <f t="shared" si="4"/>
        <v>128.01358234295418</v>
      </c>
      <c r="S22" s="17">
        <f t="shared" si="9"/>
        <v>-16.5</v>
      </c>
      <c r="T22" s="68">
        <f t="shared" si="10"/>
        <v>77.60000000000002</v>
      </c>
      <c r="U22" s="16">
        <f t="shared" si="5"/>
        <v>113.90000000000003</v>
      </c>
      <c r="W22" s="19">
        <f t="shared" si="8"/>
        <v>77.60000000000002</v>
      </c>
    </row>
    <row r="23" spans="1:23" ht="39.75" customHeight="1">
      <c r="A23" s="120">
        <v>15</v>
      </c>
      <c r="B23" s="25" t="s">
        <v>66</v>
      </c>
      <c r="C23" s="41">
        <v>0</v>
      </c>
      <c r="D23" s="41">
        <f t="shared" si="6"/>
        <v>981.1999999999999</v>
      </c>
      <c r="E23" s="41">
        <f t="shared" si="7"/>
        <v>1242</v>
      </c>
      <c r="F23" s="92">
        <f t="shared" si="0"/>
        <v>126.57969832857725</v>
      </c>
      <c r="G23" s="18">
        <v>3825.7</v>
      </c>
      <c r="H23" s="18">
        <v>3826.6</v>
      </c>
      <c r="I23" s="18">
        <f t="shared" si="1"/>
        <v>100.02352510651646</v>
      </c>
      <c r="J23" s="18">
        <v>342.9</v>
      </c>
      <c r="K23" s="18">
        <v>342.9</v>
      </c>
      <c r="L23" s="18">
        <f t="shared" si="2"/>
        <v>100</v>
      </c>
      <c r="M23" s="18"/>
      <c r="N23" s="18"/>
      <c r="O23" s="18" t="e">
        <f t="shared" si="3"/>
        <v>#DIV/0!</v>
      </c>
      <c r="P23" s="18">
        <v>638.3</v>
      </c>
      <c r="Q23" s="18">
        <v>899.1</v>
      </c>
      <c r="R23" s="18">
        <f>Q23/P23*100</f>
        <v>140.8585304715651</v>
      </c>
      <c r="S23" s="17">
        <f t="shared" si="9"/>
        <v>-260.80000000000007</v>
      </c>
      <c r="T23" s="68">
        <f t="shared" si="10"/>
        <v>-0.900000000000091</v>
      </c>
      <c r="U23" s="16">
        <f t="shared" si="5"/>
        <v>-0.900000000000091</v>
      </c>
      <c r="W23" s="19">
        <f t="shared" si="8"/>
        <v>-0.900000000000091</v>
      </c>
    </row>
    <row r="24" spans="1:23" ht="24" customHeight="1">
      <c r="A24" s="120">
        <v>16</v>
      </c>
      <c r="B24" s="25" t="s">
        <v>67</v>
      </c>
      <c r="C24" s="70"/>
      <c r="D24" s="206" t="s">
        <v>102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7"/>
      <c r="W24" s="19">
        <f t="shared" si="8"/>
        <v>0</v>
      </c>
    </row>
    <row r="25" spans="1:23" ht="36" customHeight="1">
      <c r="A25" s="120">
        <v>17</v>
      </c>
      <c r="B25" s="25" t="s">
        <v>68</v>
      </c>
      <c r="C25" s="41">
        <v>0</v>
      </c>
      <c r="D25" s="41">
        <f t="shared" si="6"/>
        <v>3457.1</v>
      </c>
      <c r="E25" s="41">
        <f t="shared" si="7"/>
        <v>3459.6000000000004</v>
      </c>
      <c r="F25" s="92">
        <f t="shared" si="0"/>
        <v>100.07231494605307</v>
      </c>
      <c r="G25" s="18">
        <v>6777.1</v>
      </c>
      <c r="H25" s="18">
        <v>6794.3</v>
      </c>
      <c r="I25" s="18">
        <f t="shared" si="1"/>
        <v>100.25379587139041</v>
      </c>
      <c r="J25" s="18">
        <v>692.3</v>
      </c>
      <c r="K25" s="18">
        <v>617.5</v>
      </c>
      <c r="L25" s="18">
        <f>K25/J25*100</f>
        <v>89.19543550483895</v>
      </c>
      <c r="M25" s="18">
        <v>1009.2</v>
      </c>
      <c r="N25" s="18">
        <v>1068.4</v>
      </c>
      <c r="O25" s="18">
        <f t="shared" si="3"/>
        <v>105.8660325009909</v>
      </c>
      <c r="P25" s="18">
        <v>1755.6</v>
      </c>
      <c r="Q25" s="18">
        <v>1773.7</v>
      </c>
      <c r="R25" s="18">
        <f>Q25/P25*100</f>
        <v>101.03098655730236</v>
      </c>
      <c r="S25" s="17">
        <f>D25-E25</f>
        <v>-2.5000000000004547</v>
      </c>
      <c r="T25" s="68">
        <f>G25-H25</f>
        <v>-17.199999999999818</v>
      </c>
      <c r="U25" s="16">
        <f>C25+G25-H25</f>
        <v>-17.199999999999818</v>
      </c>
      <c r="W25" s="19">
        <f t="shared" si="8"/>
        <v>-17.199999999999818</v>
      </c>
    </row>
    <row r="26" spans="1:23" ht="24" customHeight="1">
      <c r="A26" s="120">
        <v>18</v>
      </c>
      <c r="B26" s="23" t="s">
        <v>69</v>
      </c>
      <c r="C26" s="41">
        <f>15.8+250.7</f>
        <v>266.5</v>
      </c>
      <c r="D26" s="41">
        <f t="shared" si="6"/>
        <v>1232.4</v>
      </c>
      <c r="E26" s="41">
        <f t="shared" si="7"/>
        <v>867.5</v>
      </c>
      <c r="F26" s="92">
        <f t="shared" si="0"/>
        <v>70.39110678351183</v>
      </c>
      <c r="G26" s="18">
        <v>3472.1</v>
      </c>
      <c r="H26" s="18">
        <f>15.8+3673.5</f>
        <v>3689.3</v>
      </c>
      <c r="I26" s="18">
        <f t="shared" si="1"/>
        <v>106.25558019642291</v>
      </c>
      <c r="J26" s="18">
        <v>105.4</v>
      </c>
      <c r="K26" s="18">
        <v>20</v>
      </c>
      <c r="L26" s="18">
        <f>K26/J26*100</f>
        <v>18.975332068311193</v>
      </c>
      <c r="M26" s="18">
        <v>260</v>
      </c>
      <c r="N26" s="18">
        <v>303.9</v>
      </c>
      <c r="O26" s="18">
        <f t="shared" si="3"/>
        <v>116.88461538461539</v>
      </c>
      <c r="P26" s="18">
        <v>867</v>
      </c>
      <c r="Q26" s="18">
        <v>543.6</v>
      </c>
      <c r="R26" s="18">
        <f>Q26/P26*100</f>
        <v>62.69896193771627</v>
      </c>
      <c r="S26" s="17">
        <f>D26-E26</f>
        <v>364.9000000000001</v>
      </c>
      <c r="T26" s="68">
        <f>G26-H26</f>
        <v>-217.20000000000027</v>
      </c>
      <c r="U26" s="16">
        <f>C26+G26-H26</f>
        <v>49.29999999999973</v>
      </c>
      <c r="W26" s="19">
        <f t="shared" si="8"/>
        <v>-217.20000000000027</v>
      </c>
    </row>
    <row r="27" spans="1:23" s="27" customFormat="1" ht="24" customHeight="1">
      <c r="A27" s="120">
        <v>19</v>
      </c>
      <c r="B27" s="25" t="s">
        <v>70</v>
      </c>
      <c r="C27" s="41">
        <v>-186.8</v>
      </c>
      <c r="D27" s="41">
        <f t="shared" si="6"/>
        <v>1304.1</v>
      </c>
      <c r="E27" s="41">
        <f t="shared" si="7"/>
        <v>1376.4</v>
      </c>
      <c r="F27" s="92">
        <f t="shared" si="0"/>
        <v>105.54405337014035</v>
      </c>
      <c r="G27" s="18">
        <v>3022.7</v>
      </c>
      <c r="H27" s="18">
        <v>3643</v>
      </c>
      <c r="I27" s="18">
        <f t="shared" si="1"/>
        <v>120.52138816290072</v>
      </c>
      <c r="J27" s="18">
        <v>272.7</v>
      </c>
      <c r="K27" s="18">
        <v>100.8</v>
      </c>
      <c r="L27" s="18">
        <f>K27/J27*100</f>
        <v>36.96369636963696</v>
      </c>
      <c r="M27" s="18">
        <v>412.3</v>
      </c>
      <c r="N27" s="18">
        <f>499.9</f>
        <v>499.9</v>
      </c>
      <c r="O27" s="18">
        <f t="shared" si="3"/>
        <v>121.24666504972106</v>
      </c>
      <c r="P27" s="18">
        <v>619.1</v>
      </c>
      <c r="Q27" s="18">
        <v>775.7</v>
      </c>
      <c r="R27" s="18">
        <f>Q27/P27*100</f>
        <v>125.294782749152</v>
      </c>
      <c r="S27" s="17">
        <f>D27-E27</f>
        <v>-72.30000000000018</v>
      </c>
      <c r="T27" s="68">
        <f>G27-H27</f>
        <v>-620.3000000000002</v>
      </c>
      <c r="U27" s="16">
        <f>C27+G27-H27</f>
        <v>-807.1000000000004</v>
      </c>
      <c r="W27" s="19">
        <f t="shared" si="8"/>
        <v>-620.3000000000002</v>
      </c>
    </row>
    <row r="28" spans="1:23" ht="39" customHeight="1">
      <c r="A28" s="120">
        <v>20</v>
      </c>
      <c r="B28" s="25" t="s">
        <v>105</v>
      </c>
      <c r="C28" s="41">
        <v>-152.8</v>
      </c>
      <c r="D28" s="41">
        <f t="shared" si="6"/>
        <v>2048.3</v>
      </c>
      <c r="E28" s="41">
        <f t="shared" si="7"/>
        <v>2584.6000000000004</v>
      </c>
      <c r="F28" s="92">
        <f t="shared" si="0"/>
        <v>126.18268808280038</v>
      </c>
      <c r="G28" s="18">
        <v>5133.2</v>
      </c>
      <c r="H28" s="18">
        <v>4806</v>
      </c>
      <c r="I28" s="18">
        <f t="shared" si="1"/>
        <v>93.62580846255747</v>
      </c>
      <c r="J28" s="18">
        <v>368.7</v>
      </c>
      <c r="K28" s="18">
        <v>440.6</v>
      </c>
      <c r="L28" s="18">
        <f>K28/J28*100</f>
        <v>119.5009492812585</v>
      </c>
      <c r="M28" s="18">
        <v>568.4</v>
      </c>
      <c r="N28" s="18">
        <v>91.6</v>
      </c>
      <c r="O28" s="18">
        <f t="shared" si="3"/>
        <v>16.115411681914143</v>
      </c>
      <c r="P28" s="18">
        <v>1111.2</v>
      </c>
      <c r="Q28" s="18">
        <v>2052.4</v>
      </c>
      <c r="R28" s="18">
        <f>Q28/P28*100</f>
        <v>184.70122390208783</v>
      </c>
      <c r="S28" s="17">
        <f>D28-E28</f>
        <v>-536.3000000000002</v>
      </c>
      <c r="T28" s="68">
        <f>G28-H28</f>
        <v>327.1999999999998</v>
      </c>
      <c r="U28" s="16">
        <f>C28+G28-H28</f>
        <v>174.39999999999964</v>
      </c>
      <c r="W28" s="19">
        <f t="shared" si="8"/>
        <v>327.1999999999998</v>
      </c>
    </row>
    <row r="29" spans="1:23" ht="39" customHeight="1">
      <c r="A29" s="120">
        <v>21</v>
      </c>
      <c r="B29" s="23" t="s">
        <v>71</v>
      </c>
      <c r="C29" s="41">
        <f>176.8+382.6</f>
        <v>559.4000000000001</v>
      </c>
      <c r="D29" s="41">
        <f t="shared" si="6"/>
        <v>869.4000000000001</v>
      </c>
      <c r="E29" s="41">
        <f t="shared" si="7"/>
        <v>489.8</v>
      </c>
      <c r="F29" s="92">
        <f t="shared" si="0"/>
        <v>56.337704163791116</v>
      </c>
      <c r="G29" s="18">
        <f>1144+5029.7+347</f>
        <v>6520.7</v>
      </c>
      <c r="H29" s="18">
        <f>1320.8+4949.6+315.6</f>
        <v>6586.000000000001</v>
      </c>
      <c r="I29" s="18">
        <f t="shared" si="1"/>
        <v>101.00142622724555</v>
      </c>
      <c r="J29" s="18">
        <v>469.8</v>
      </c>
      <c r="K29" s="18">
        <v>0</v>
      </c>
      <c r="L29" s="18">
        <f>K29/J29*100</f>
        <v>0</v>
      </c>
      <c r="M29" s="18">
        <v>0</v>
      </c>
      <c r="N29" s="18">
        <v>0.1</v>
      </c>
      <c r="O29" s="18" t="e">
        <f t="shared" si="3"/>
        <v>#DIV/0!</v>
      </c>
      <c r="P29" s="18">
        <v>399.6</v>
      </c>
      <c r="Q29" s="18">
        <v>489.7</v>
      </c>
      <c r="R29" s="18">
        <f>Q29/P29*100</f>
        <v>122.54754754754754</v>
      </c>
      <c r="S29" s="17">
        <f>D29-E29</f>
        <v>379.6000000000001</v>
      </c>
      <c r="T29" s="68">
        <f>G29-H29</f>
        <v>-65.30000000000109</v>
      </c>
      <c r="U29" s="16">
        <f>C29+G29-H29</f>
        <v>494.09999999999945</v>
      </c>
      <c r="W29" s="19">
        <f t="shared" si="8"/>
        <v>-65.30000000000109</v>
      </c>
    </row>
    <row r="30" spans="1:23" ht="24" customHeight="1">
      <c r="A30" s="120">
        <v>22</v>
      </c>
      <c r="B30" s="23" t="s">
        <v>72</v>
      </c>
      <c r="C30" s="71"/>
      <c r="D30" s="200" t="s">
        <v>102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1"/>
      <c r="W30" s="19">
        <f t="shared" si="8"/>
        <v>0</v>
      </c>
    </row>
    <row r="31" spans="1:23" ht="24" customHeight="1">
      <c r="A31" s="120">
        <v>23</v>
      </c>
      <c r="B31" s="25" t="s">
        <v>73</v>
      </c>
      <c r="C31" s="83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3"/>
      <c r="W31" s="19">
        <f t="shared" si="8"/>
        <v>0</v>
      </c>
    </row>
    <row r="32" spans="1:23" ht="24" customHeight="1">
      <c r="A32" s="120">
        <v>24</v>
      </c>
      <c r="B32" s="25" t="s">
        <v>74</v>
      </c>
      <c r="C32" s="8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5"/>
      <c r="W32" s="19">
        <f t="shared" si="8"/>
        <v>0</v>
      </c>
    </row>
    <row r="33" spans="1:23" ht="24" customHeight="1">
      <c r="A33" s="120">
        <v>25</v>
      </c>
      <c r="B33" s="25" t="s">
        <v>97</v>
      </c>
      <c r="C33" s="41"/>
      <c r="D33" s="80"/>
      <c r="E33" s="80"/>
      <c r="F33" s="35" t="e">
        <f>E33/D33*100</f>
        <v>#DIV/0!</v>
      </c>
      <c r="G33" s="80"/>
      <c r="H33" s="80"/>
      <c r="I33" s="35"/>
      <c r="J33" s="26"/>
      <c r="K33" s="26"/>
      <c r="L33" s="26" t="e">
        <f aca="true" t="shared" si="11" ref="L33:L48">K33/J33*100</f>
        <v>#DIV/0!</v>
      </c>
      <c r="M33" s="26"/>
      <c r="N33" s="26"/>
      <c r="O33" s="26"/>
      <c r="P33" s="26"/>
      <c r="Q33" s="26"/>
      <c r="R33" s="26"/>
      <c r="S33" s="35"/>
      <c r="T33" s="86"/>
      <c r="U33" s="35"/>
      <c r="W33" s="19">
        <f t="shared" si="8"/>
        <v>0</v>
      </c>
    </row>
    <row r="34" spans="1:23" ht="24" customHeight="1">
      <c r="A34" s="120"/>
      <c r="B34" s="25" t="s">
        <v>76</v>
      </c>
      <c r="C34" s="41">
        <v>-1400.8</v>
      </c>
      <c r="D34" s="41">
        <f aca="true" t="shared" si="12" ref="D34:E47">J34+M34+P34</f>
        <v>8621</v>
      </c>
      <c r="E34" s="41">
        <f t="shared" si="12"/>
        <v>9677</v>
      </c>
      <c r="F34" s="92">
        <f>E34/D34*100</f>
        <v>112.24915903027491</v>
      </c>
      <c r="G34" s="18">
        <v>24667</v>
      </c>
      <c r="H34" s="18">
        <v>21206.4</v>
      </c>
      <c r="I34" s="18">
        <f aca="true" t="shared" si="13" ref="I34:I49">H34/G34*100</f>
        <v>85.97073012526857</v>
      </c>
      <c r="J34" s="18">
        <v>1896</v>
      </c>
      <c r="K34" s="18">
        <v>1803.5</v>
      </c>
      <c r="L34" s="18">
        <f t="shared" si="11"/>
        <v>95.12130801687763</v>
      </c>
      <c r="M34" s="18">
        <v>2452.7</v>
      </c>
      <c r="N34" s="18">
        <v>4581.2</v>
      </c>
      <c r="O34" s="18">
        <f aca="true" t="shared" si="14" ref="O34:O48">N34/M34*100</f>
        <v>186.78191380927143</v>
      </c>
      <c r="P34" s="18">
        <v>4272.3</v>
      </c>
      <c r="Q34" s="18">
        <v>3292.3</v>
      </c>
      <c r="R34" s="18">
        <f aca="true" t="shared" si="15" ref="R34:R48">Q34/P34*100</f>
        <v>77.06153594082814</v>
      </c>
      <c r="S34" s="17">
        <f aca="true" t="shared" si="16" ref="S34:S43">D34-E34</f>
        <v>-1056</v>
      </c>
      <c r="T34" s="68">
        <f>G34-H34</f>
        <v>3460.5999999999985</v>
      </c>
      <c r="U34" s="16">
        <f aca="true" t="shared" si="17" ref="U34:U43">C34+G34-H34</f>
        <v>2059.7999999999993</v>
      </c>
      <c r="W34" s="19">
        <f t="shared" si="8"/>
        <v>3460.5999999999985</v>
      </c>
    </row>
    <row r="35" spans="1:23" ht="24.75" customHeight="1">
      <c r="A35" s="121"/>
      <c r="B35" s="25" t="s">
        <v>77</v>
      </c>
      <c r="C35" s="41">
        <v>43.9</v>
      </c>
      <c r="D35" s="41">
        <f t="shared" si="12"/>
        <v>235.9</v>
      </c>
      <c r="E35" s="41">
        <f t="shared" si="12"/>
        <v>247.89999999999998</v>
      </c>
      <c r="F35" s="92">
        <f>E35/D35*100</f>
        <v>105.08690122933446</v>
      </c>
      <c r="G35" s="18">
        <v>702.6</v>
      </c>
      <c r="H35" s="18">
        <v>612.4</v>
      </c>
      <c r="I35" s="18">
        <f t="shared" si="13"/>
        <v>87.16196982635923</v>
      </c>
      <c r="J35" s="18">
        <v>44.7</v>
      </c>
      <c r="K35" s="18">
        <v>25.4</v>
      </c>
      <c r="L35" s="18">
        <f t="shared" si="11"/>
        <v>56.823266219239365</v>
      </c>
      <c r="M35" s="18">
        <v>75.3</v>
      </c>
      <c r="N35" s="18">
        <v>44.8</v>
      </c>
      <c r="O35" s="18">
        <f t="shared" si="14"/>
        <v>59.495351925630814</v>
      </c>
      <c r="P35" s="18">
        <v>115.9</v>
      </c>
      <c r="Q35" s="18">
        <v>177.7</v>
      </c>
      <c r="R35" s="18">
        <f t="shared" si="15"/>
        <v>153.3218291630716</v>
      </c>
      <c r="S35" s="17">
        <f t="shared" si="16"/>
        <v>-11.999999999999972</v>
      </c>
      <c r="T35" s="68">
        <f>G35-H35</f>
        <v>90.20000000000005</v>
      </c>
      <c r="U35" s="16">
        <f t="shared" si="17"/>
        <v>134.10000000000002</v>
      </c>
      <c r="W35" s="19">
        <f t="shared" si="8"/>
        <v>90.20000000000005</v>
      </c>
    </row>
    <row r="36" spans="1:23" ht="37.5" customHeight="1">
      <c r="A36" s="120">
        <v>26</v>
      </c>
      <c r="B36" s="25" t="s">
        <v>106</v>
      </c>
      <c r="C36" s="41">
        <v>562.3</v>
      </c>
      <c r="D36" s="41">
        <f t="shared" si="12"/>
        <v>883.6</v>
      </c>
      <c r="E36" s="41">
        <f t="shared" si="12"/>
        <v>462.8</v>
      </c>
      <c r="F36" s="92">
        <f aca="true" t="shared" si="18" ref="F36:F44">E36/D36*100</f>
        <v>52.376641014033495</v>
      </c>
      <c r="G36" s="18">
        <v>3189.1</v>
      </c>
      <c r="H36" s="18">
        <v>2973.6</v>
      </c>
      <c r="I36" s="18">
        <f t="shared" si="13"/>
        <v>93.24260763224734</v>
      </c>
      <c r="J36" s="18">
        <v>130.8</v>
      </c>
      <c r="K36" s="18">
        <v>25.1</v>
      </c>
      <c r="L36" s="18">
        <f t="shared" si="11"/>
        <v>19.189602446483182</v>
      </c>
      <c r="M36" s="18">
        <v>318.6</v>
      </c>
      <c r="N36" s="18">
        <v>231</v>
      </c>
      <c r="O36" s="18">
        <f t="shared" si="14"/>
        <v>72.50470809792843</v>
      </c>
      <c r="P36" s="18">
        <v>434.2</v>
      </c>
      <c r="Q36" s="18">
        <v>206.7</v>
      </c>
      <c r="R36" s="18">
        <f t="shared" si="15"/>
        <v>47.604790419161674</v>
      </c>
      <c r="S36" s="17">
        <f t="shared" si="16"/>
        <v>420.8</v>
      </c>
      <c r="T36" s="68">
        <f aca="true" t="shared" si="19" ref="T36:T43">G36-H36</f>
        <v>215.5</v>
      </c>
      <c r="U36" s="16">
        <f t="shared" si="17"/>
        <v>777.7999999999997</v>
      </c>
      <c r="W36" s="19">
        <f t="shared" si="8"/>
        <v>215.5</v>
      </c>
    </row>
    <row r="37" spans="1:23" ht="24" customHeight="1">
      <c r="A37" s="120">
        <v>27</v>
      </c>
      <c r="B37" s="23" t="s">
        <v>78</v>
      </c>
      <c r="C37" s="41">
        <v>80.8</v>
      </c>
      <c r="D37" s="41">
        <f t="shared" si="12"/>
        <v>1715.8</v>
      </c>
      <c r="E37" s="41">
        <f t="shared" si="12"/>
        <v>1718.1999999999998</v>
      </c>
      <c r="F37" s="92">
        <f t="shared" si="18"/>
        <v>100.1398764424758</v>
      </c>
      <c r="G37" s="18">
        <v>3545.3</v>
      </c>
      <c r="H37" s="18">
        <v>3591.1</v>
      </c>
      <c r="I37" s="18">
        <f t="shared" si="13"/>
        <v>101.2918511832567</v>
      </c>
      <c r="J37" s="18">
        <v>326.4</v>
      </c>
      <c r="K37" s="18">
        <v>286.8</v>
      </c>
      <c r="L37" s="18">
        <f t="shared" si="11"/>
        <v>87.86764705882354</v>
      </c>
      <c r="M37" s="18">
        <v>491.2</v>
      </c>
      <c r="N37" s="18">
        <v>628.5</v>
      </c>
      <c r="O37" s="18">
        <f t="shared" si="14"/>
        <v>127.95195439739413</v>
      </c>
      <c r="P37" s="18">
        <v>898.2</v>
      </c>
      <c r="Q37" s="18">
        <v>802.9</v>
      </c>
      <c r="R37" s="18">
        <f t="shared" si="15"/>
        <v>89.3898908928969</v>
      </c>
      <c r="S37" s="17">
        <f t="shared" si="16"/>
        <v>-2.3999999999998636</v>
      </c>
      <c r="T37" s="68">
        <f t="shared" si="19"/>
        <v>-45.79999999999973</v>
      </c>
      <c r="U37" s="16">
        <f t="shared" si="17"/>
        <v>35.000000000000455</v>
      </c>
      <c r="W37" s="19">
        <f t="shared" si="8"/>
        <v>-45.79999999999973</v>
      </c>
    </row>
    <row r="38" spans="1:23" ht="24" customHeight="1">
      <c r="A38" s="120">
        <v>28</v>
      </c>
      <c r="B38" s="25" t="s">
        <v>79</v>
      </c>
      <c r="C38" s="41">
        <v>690.4</v>
      </c>
      <c r="D38" s="41">
        <f t="shared" si="12"/>
        <v>4437.8</v>
      </c>
      <c r="E38" s="41">
        <f t="shared" si="12"/>
        <v>2340.8</v>
      </c>
      <c r="F38" s="92">
        <f t="shared" si="18"/>
        <v>52.746856550543065</v>
      </c>
      <c r="G38" s="18">
        <v>12019.8</v>
      </c>
      <c r="H38" s="18">
        <v>12610.1</v>
      </c>
      <c r="I38" s="18">
        <f t="shared" si="13"/>
        <v>104.91106341203682</v>
      </c>
      <c r="J38" s="18">
        <v>1068.8</v>
      </c>
      <c r="K38" s="18">
        <v>7.5</v>
      </c>
      <c r="L38" s="18">
        <f t="shared" si="11"/>
        <v>0.7017215568862276</v>
      </c>
      <c r="M38" s="18">
        <v>1308.5</v>
      </c>
      <c r="N38" s="18">
        <v>306.1</v>
      </c>
      <c r="O38" s="18">
        <f t="shared" si="14"/>
        <v>23.39319831868552</v>
      </c>
      <c r="P38" s="18">
        <v>2060.5</v>
      </c>
      <c r="Q38" s="18">
        <v>2027.2</v>
      </c>
      <c r="R38" s="18">
        <f t="shared" si="15"/>
        <v>98.38388740596943</v>
      </c>
      <c r="S38" s="17">
        <f t="shared" si="16"/>
        <v>2097</v>
      </c>
      <c r="T38" s="68">
        <f t="shared" si="19"/>
        <v>-590.3000000000011</v>
      </c>
      <c r="U38" s="16">
        <f t="shared" si="17"/>
        <v>100.09999999999854</v>
      </c>
      <c r="V38" s="19"/>
      <c r="W38" s="19">
        <f t="shared" si="8"/>
        <v>-590.3000000000011</v>
      </c>
    </row>
    <row r="39" spans="1:23" ht="24" customHeight="1">
      <c r="A39" s="120">
        <v>29</v>
      </c>
      <c r="B39" s="25" t="s">
        <v>80</v>
      </c>
      <c r="C39" s="41">
        <v>3152.3</v>
      </c>
      <c r="D39" s="41">
        <f t="shared" si="12"/>
        <v>5522.2</v>
      </c>
      <c r="E39" s="41">
        <f t="shared" si="12"/>
        <v>2898.2</v>
      </c>
      <c r="F39" s="92">
        <f t="shared" si="18"/>
        <v>52.48270616783166</v>
      </c>
      <c r="G39" s="18">
        <v>12578.6</v>
      </c>
      <c r="H39" s="18">
        <v>15436</v>
      </c>
      <c r="I39" s="18">
        <f t="shared" si="13"/>
        <v>122.71635953126739</v>
      </c>
      <c r="J39" s="18">
        <v>1231.8</v>
      </c>
      <c r="K39" s="18">
        <v>797.9</v>
      </c>
      <c r="L39" s="18">
        <f t="shared" si="11"/>
        <v>64.7751258321156</v>
      </c>
      <c r="M39" s="18">
        <v>1667.1</v>
      </c>
      <c r="N39" s="18">
        <v>700.5</v>
      </c>
      <c r="O39" s="18">
        <f t="shared" si="14"/>
        <v>42.019075040489476</v>
      </c>
      <c r="P39" s="18">
        <v>2623.3</v>
      </c>
      <c r="Q39" s="18">
        <v>1399.8</v>
      </c>
      <c r="R39" s="18">
        <f t="shared" si="15"/>
        <v>53.36027141386802</v>
      </c>
      <c r="S39" s="17">
        <f t="shared" si="16"/>
        <v>2624</v>
      </c>
      <c r="T39" s="68">
        <f t="shared" si="19"/>
        <v>-2857.3999999999996</v>
      </c>
      <c r="U39" s="16">
        <f t="shared" si="17"/>
        <v>294.90000000000146</v>
      </c>
      <c r="W39" s="19">
        <f t="shared" si="8"/>
        <v>-2857.3999999999996</v>
      </c>
    </row>
    <row r="40" spans="1:23" s="27" customFormat="1" ht="26.25" customHeight="1">
      <c r="A40" s="120">
        <v>30</v>
      </c>
      <c r="B40" s="25" t="s">
        <v>107</v>
      </c>
      <c r="C40" s="41">
        <f>7181.5-21.4</f>
        <v>7160.1</v>
      </c>
      <c r="D40" s="41">
        <f t="shared" si="12"/>
        <v>5794.9</v>
      </c>
      <c r="E40" s="41">
        <f t="shared" si="12"/>
        <v>3818.3999999999996</v>
      </c>
      <c r="F40" s="92">
        <f t="shared" si="18"/>
        <v>65.89242264750038</v>
      </c>
      <c r="G40" s="18">
        <f>16845.7+687.7</f>
        <v>17533.4</v>
      </c>
      <c r="H40" s="18">
        <f>21659.3+605.8</f>
        <v>22265.1</v>
      </c>
      <c r="I40" s="18">
        <f t="shared" si="13"/>
        <v>126.98677951794859</v>
      </c>
      <c r="J40" s="18">
        <f>1321.2+67.9</f>
        <v>1389.1000000000001</v>
      </c>
      <c r="K40" s="18">
        <f>42.6+13.5</f>
        <v>56.1</v>
      </c>
      <c r="L40" s="18">
        <f t="shared" si="11"/>
        <v>4.038586134907494</v>
      </c>
      <c r="M40" s="18">
        <f>1616.2+75.5</f>
        <v>1691.7</v>
      </c>
      <c r="N40" s="18">
        <f>31.4+31.6</f>
        <v>63</v>
      </c>
      <c r="O40" s="18">
        <f t="shared" si="14"/>
        <v>3.724064550452208</v>
      </c>
      <c r="P40" s="18">
        <f>2588.6+125.5</f>
        <v>2714.1</v>
      </c>
      <c r="Q40" s="18">
        <f>3420.1+279.2</f>
        <v>3699.2999999999997</v>
      </c>
      <c r="R40" s="18">
        <f t="shared" si="15"/>
        <v>136.29932574334035</v>
      </c>
      <c r="S40" s="17">
        <f t="shared" si="16"/>
        <v>1976.5</v>
      </c>
      <c r="T40" s="68">
        <f t="shared" si="19"/>
        <v>-4731.699999999997</v>
      </c>
      <c r="U40" s="16">
        <f t="shared" si="17"/>
        <v>2428.4000000000015</v>
      </c>
      <c r="W40" s="19">
        <f t="shared" si="8"/>
        <v>-4731.699999999997</v>
      </c>
    </row>
    <row r="41" spans="1:23" ht="24.75" customHeight="1">
      <c r="A41" s="120">
        <v>31</v>
      </c>
      <c r="B41" s="25" t="s">
        <v>81</v>
      </c>
      <c r="C41" s="41">
        <v>-2.7</v>
      </c>
      <c r="D41" s="41">
        <f t="shared" si="12"/>
        <v>319.8</v>
      </c>
      <c r="E41" s="41">
        <f t="shared" si="12"/>
        <v>349.9</v>
      </c>
      <c r="F41" s="92">
        <f t="shared" si="18"/>
        <v>109.41213258286429</v>
      </c>
      <c r="G41" s="18">
        <v>683.5</v>
      </c>
      <c r="H41" s="18">
        <v>633.7</v>
      </c>
      <c r="I41" s="18">
        <f t="shared" si="13"/>
        <v>92.71397220190198</v>
      </c>
      <c r="J41" s="18">
        <v>71.1</v>
      </c>
      <c r="K41" s="18">
        <v>25.8</v>
      </c>
      <c r="L41" s="18">
        <f t="shared" si="11"/>
        <v>36.286919831223635</v>
      </c>
      <c r="M41" s="18">
        <v>85.7</v>
      </c>
      <c r="N41" s="18">
        <v>111.8</v>
      </c>
      <c r="O41" s="18">
        <f t="shared" si="14"/>
        <v>130.4550758459743</v>
      </c>
      <c r="P41" s="18">
        <v>163</v>
      </c>
      <c r="Q41" s="18">
        <v>212.3</v>
      </c>
      <c r="R41" s="18">
        <f t="shared" si="15"/>
        <v>130.24539877300614</v>
      </c>
      <c r="S41" s="17">
        <f t="shared" si="16"/>
        <v>-30.099999999999966</v>
      </c>
      <c r="T41" s="68">
        <f t="shared" si="19"/>
        <v>49.799999999999955</v>
      </c>
      <c r="U41" s="16">
        <f t="shared" si="17"/>
        <v>47.09999999999991</v>
      </c>
      <c r="W41" s="19">
        <f t="shared" si="8"/>
        <v>49.799999999999955</v>
      </c>
    </row>
    <row r="42" spans="1:23" s="27" customFormat="1" ht="36.75" customHeight="1">
      <c r="A42" s="120">
        <v>32</v>
      </c>
      <c r="B42" s="23" t="s">
        <v>82</v>
      </c>
      <c r="C42" s="41">
        <f>-23.2+872.5</f>
        <v>849.3</v>
      </c>
      <c r="D42" s="41">
        <f t="shared" si="12"/>
        <v>2896.9</v>
      </c>
      <c r="E42" s="41">
        <f t="shared" si="12"/>
        <v>348.7</v>
      </c>
      <c r="F42" s="92">
        <f t="shared" si="18"/>
        <v>12.037005074389864</v>
      </c>
      <c r="G42" s="18">
        <f>7218.5+314.9</f>
        <v>7533.4</v>
      </c>
      <c r="H42" s="18">
        <f>7014.6+264.3</f>
        <v>7278.900000000001</v>
      </c>
      <c r="I42" s="18">
        <f t="shared" si="13"/>
        <v>96.62171131228928</v>
      </c>
      <c r="J42" s="18">
        <f>440.7+13.6</f>
        <v>454.3</v>
      </c>
      <c r="K42" s="18">
        <f>0</f>
        <v>0</v>
      </c>
      <c r="L42" s="18">
        <f t="shared" si="11"/>
        <v>0</v>
      </c>
      <c r="M42" s="18">
        <f>908.7+37.2</f>
        <v>945.9000000000001</v>
      </c>
      <c r="N42" s="18">
        <f>1.7+20.5</f>
        <v>22.2</v>
      </c>
      <c r="O42" s="18">
        <f t="shared" si="14"/>
        <v>2.34697113859816</v>
      </c>
      <c r="P42" s="18">
        <f>1433.4+63.3</f>
        <v>1496.7</v>
      </c>
      <c r="Q42" s="18">
        <f>240+86.5</f>
        <v>326.5</v>
      </c>
      <c r="R42" s="18">
        <f t="shared" si="15"/>
        <v>21.814658916282486</v>
      </c>
      <c r="S42" s="17">
        <f t="shared" si="16"/>
        <v>2548.2000000000003</v>
      </c>
      <c r="T42" s="68">
        <f t="shared" si="19"/>
        <v>254.4999999999991</v>
      </c>
      <c r="U42" s="16">
        <f t="shared" si="17"/>
        <v>1103.7999999999984</v>
      </c>
      <c r="W42" s="19">
        <f t="shared" si="8"/>
        <v>254.4999999999991</v>
      </c>
    </row>
    <row r="43" spans="1:23" s="27" customFormat="1" ht="23.25" customHeight="1">
      <c r="A43" s="120">
        <v>33</v>
      </c>
      <c r="B43" s="25" t="s">
        <v>83</v>
      </c>
      <c r="C43" s="41">
        <f>50.2+268.1</f>
        <v>318.3</v>
      </c>
      <c r="D43" s="41">
        <f t="shared" si="12"/>
        <v>3328.1</v>
      </c>
      <c r="E43" s="41">
        <f t="shared" si="12"/>
        <v>2742.5</v>
      </c>
      <c r="F43" s="92">
        <f t="shared" si="18"/>
        <v>82.40437486854361</v>
      </c>
      <c r="G43" s="18">
        <f>5293.4+2554.3</f>
        <v>7847.7</v>
      </c>
      <c r="H43" s="18">
        <f>4641.2+2659</f>
        <v>7300.2</v>
      </c>
      <c r="I43" s="18">
        <f t="shared" si="13"/>
        <v>93.02343361749303</v>
      </c>
      <c r="J43" s="18">
        <f>435.5+222.3</f>
        <v>657.8</v>
      </c>
      <c r="K43" s="18">
        <f>6.1+59.5</f>
        <v>65.6</v>
      </c>
      <c r="L43" s="18">
        <f t="shared" si="11"/>
        <v>9.972636059592581</v>
      </c>
      <c r="M43" s="18">
        <f>604+331.4</f>
        <v>935.4</v>
      </c>
      <c r="N43" s="18">
        <f>19.3+98.6+3.2</f>
        <v>121.1</v>
      </c>
      <c r="O43" s="18">
        <f t="shared" si="14"/>
        <v>12.94633311952106</v>
      </c>
      <c r="P43" s="18">
        <f>1126.7+608.2</f>
        <v>1734.9</v>
      </c>
      <c r="Q43" s="18">
        <f>2035.4+520.4</f>
        <v>2555.8</v>
      </c>
      <c r="R43" s="18">
        <f t="shared" si="15"/>
        <v>147.3168482333276</v>
      </c>
      <c r="S43" s="17">
        <f t="shared" si="16"/>
        <v>585.5999999999999</v>
      </c>
      <c r="T43" s="68">
        <f t="shared" si="19"/>
        <v>547.5</v>
      </c>
      <c r="U43" s="16">
        <f t="shared" si="17"/>
        <v>865.8000000000002</v>
      </c>
      <c r="W43" s="19">
        <f t="shared" si="8"/>
        <v>547.5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248397.19999999998</v>
      </c>
      <c r="D44" s="42">
        <f>D45+D46+D47</f>
        <v>87898.8</v>
      </c>
      <c r="E44" s="42">
        <f>E45+E46+E47</f>
        <v>86810</v>
      </c>
      <c r="F44" s="40">
        <f t="shared" si="18"/>
        <v>98.76130277091382</v>
      </c>
      <c r="G44" s="16">
        <f>G45+G46+G47</f>
        <v>257258.9</v>
      </c>
      <c r="H44" s="16">
        <f>H45+H46+H47</f>
        <v>264391.7</v>
      </c>
      <c r="I44" s="17">
        <f t="shared" si="13"/>
        <v>102.77261544692915</v>
      </c>
      <c r="J44" s="16">
        <f>J45+J46+J47</f>
        <v>21204.7</v>
      </c>
      <c r="K44" s="16">
        <f>K45+K46+K47</f>
        <v>5046.9</v>
      </c>
      <c r="L44" s="17">
        <f t="shared" si="11"/>
        <v>23.80085547072111</v>
      </c>
      <c r="M44" s="16">
        <f>M45+M46+M47</f>
        <v>28333.2</v>
      </c>
      <c r="N44" s="16">
        <f>N45+N46+N47</f>
        <v>13444.5</v>
      </c>
      <c r="O44" s="17">
        <f t="shared" si="14"/>
        <v>47.45139977129304</v>
      </c>
      <c r="P44" s="16">
        <f>P45+P46+P47</f>
        <v>38360.899999999994</v>
      </c>
      <c r="Q44" s="16">
        <f>Q45+Q46+Q47</f>
        <v>68318.6</v>
      </c>
      <c r="R44" s="17">
        <f t="shared" si="15"/>
        <v>178.09436170684216</v>
      </c>
      <c r="S44" s="59">
        <f>SUMIF(S45:S47,"&gt;0",S45:S47)</f>
        <v>1735</v>
      </c>
      <c r="T44" s="59">
        <f>SUMIF(T45:T47,"&gt;0",T45:T47)</f>
        <v>92</v>
      </c>
      <c r="U44" s="59">
        <f>SUMIF(U45:U47,"&gt;0",U45:U47)</f>
        <v>241334.4</v>
      </c>
      <c r="V44" s="7">
        <v>-9</v>
      </c>
      <c r="W44" s="59">
        <v>-9</v>
      </c>
    </row>
    <row r="45" spans="1:23" s="7" customFormat="1" ht="24.75" customHeight="1">
      <c r="A45" s="122"/>
      <c r="B45" s="23" t="s">
        <v>85</v>
      </c>
      <c r="C45" s="41">
        <f>5042+242286</f>
        <v>247328</v>
      </c>
      <c r="D45" s="41">
        <f t="shared" si="12"/>
        <v>84032</v>
      </c>
      <c r="E45" s="41">
        <f t="shared" si="12"/>
        <v>82297</v>
      </c>
      <c r="F45" s="92">
        <f>E45/D45*100</f>
        <v>97.93531035795887</v>
      </c>
      <c r="G45" s="18">
        <f>67047+179143</f>
        <v>246190</v>
      </c>
      <c r="H45" s="18">
        <f>64169+176987+3887+7549</f>
        <v>252592</v>
      </c>
      <c r="I45" s="18">
        <f t="shared" si="13"/>
        <v>102.60043056176124</v>
      </c>
      <c r="J45" s="18">
        <f>5523+14840</f>
        <v>20363</v>
      </c>
      <c r="K45" s="18">
        <f>2007+2798</f>
        <v>4805</v>
      </c>
      <c r="L45" s="18">
        <f t="shared" si="11"/>
        <v>23.59671954034278</v>
      </c>
      <c r="M45" s="18">
        <f>7833+19264</f>
        <v>27097</v>
      </c>
      <c r="N45" s="18">
        <f>6848+5157</f>
        <v>12005</v>
      </c>
      <c r="O45" s="18">
        <f t="shared" si="14"/>
        <v>44.303797468354425</v>
      </c>
      <c r="P45" s="18">
        <f>25782+10790</f>
        <v>36572</v>
      </c>
      <c r="Q45" s="18">
        <f>15423+50064</f>
        <v>65487</v>
      </c>
      <c r="R45" s="18">
        <f t="shared" si="15"/>
        <v>179.06321776222248</v>
      </c>
      <c r="S45" s="17">
        <f>D45-E45</f>
        <v>1735</v>
      </c>
      <c r="T45" s="86">
        <f>G45-H45</f>
        <v>-6402</v>
      </c>
      <c r="U45" s="24">
        <f>C45+G45-H45</f>
        <v>240926</v>
      </c>
      <c r="W45" s="19"/>
    </row>
    <row r="46" spans="1:23" s="28" customFormat="1" ht="24.75" customHeight="1">
      <c r="A46" s="122"/>
      <c r="B46" s="23" t="s">
        <v>86</v>
      </c>
      <c r="C46" s="41">
        <v>316.4</v>
      </c>
      <c r="D46" s="41">
        <f t="shared" si="12"/>
        <v>950.3</v>
      </c>
      <c r="E46" s="41">
        <f t="shared" si="12"/>
        <v>985.9</v>
      </c>
      <c r="F46" s="92">
        <f>E46/D46*100</f>
        <v>103.74618541513208</v>
      </c>
      <c r="G46" s="18">
        <v>2587.6</v>
      </c>
      <c r="H46" s="18">
        <v>2495.6</v>
      </c>
      <c r="I46" s="18">
        <f t="shared" si="13"/>
        <v>96.4445818519091</v>
      </c>
      <c r="J46" s="18">
        <v>181.7</v>
      </c>
      <c r="K46" s="18">
        <v>0</v>
      </c>
      <c r="L46" s="18">
        <f t="shared" si="11"/>
        <v>0</v>
      </c>
      <c r="M46" s="18">
        <v>290.4</v>
      </c>
      <c r="N46" s="18">
        <v>75.6</v>
      </c>
      <c r="O46" s="18">
        <f t="shared" si="14"/>
        <v>26.033057851239672</v>
      </c>
      <c r="P46" s="18">
        <v>478.2</v>
      </c>
      <c r="Q46" s="18">
        <v>910.3</v>
      </c>
      <c r="R46" s="18">
        <f t="shared" si="15"/>
        <v>190.35968214136346</v>
      </c>
      <c r="S46" s="17">
        <f>D46-E46</f>
        <v>-35.60000000000002</v>
      </c>
      <c r="T46" s="86">
        <f>G46-H46</f>
        <v>92</v>
      </c>
      <c r="U46" s="24">
        <f>C46+G46-H46</f>
        <v>408.4000000000001</v>
      </c>
      <c r="W46" s="19"/>
    </row>
    <row r="47" spans="1:23" s="7" customFormat="1" ht="24.75" customHeight="1">
      <c r="A47" s="122"/>
      <c r="B47" s="23" t="s">
        <v>77</v>
      </c>
      <c r="C47" s="41">
        <v>752.8</v>
      </c>
      <c r="D47" s="41">
        <f t="shared" si="12"/>
        <v>2916.5</v>
      </c>
      <c r="E47" s="41">
        <f t="shared" si="12"/>
        <v>3527.1000000000004</v>
      </c>
      <c r="F47" s="92">
        <f>E47/D47*100</f>
        <v>120.9360534887708</v>
      </c>
      <c r="G47" s="18">
        <v>8481.3</v>
      </c>
      <c r="H47" s="18">
        <v>9304.1</v>
      </c>
      <c r="I47" s="18">
        <f t="shared" si="13"/>
        <v>109.70134295449992</v>
      </c>
      <c r="J47" s="18">
        <v>660</v>
      </c>
      <c r="K47" s="18">
        <v>241.9</v>
      </c>
      <c r="L47" s="18">
        <f t="shared" si="11"/>
        <v>36.65151515151515</v>
      </c>
      <c r="M47" s="18">
        <v>945.8</v>
      </c>
      <c r="N47" s="18">
        <f>738.8+625.1</f>
        <v>1363.9</v>
      </c>
      <c r="O47" s="18">
        <f t="shared" si="14"/>
        <v>144.20596320575177</v>
      </c>
      <c r="P47" s="18">
        <v>1310.7</v>
      </c>
      <c r="Q47" s="18">
        <v>1921.3</v>
      </c>
      <c r="R47" s="18">
        <f t="shared" si="15"/>
        <v>146.58579385061415</v>
      </c>
      <c r="S47" s="17">
        <f>D47-E47</f>
        <v>-610.6000000000004</v>
      </c>
      <c r="T47" s="86">
        <f>G47-H47</f>
        <v>-822.8000000000011</v>
      </c>
      <c r="U47" s="24">
        <f>C47+G47-H47</f>
        <v>-70.00000000000182</v>
      </c>
      <c r="V47" s="7">
        <v>-9</v>
      </c>
      <c r="W47" s="19">
        <v>-9</v>
      </c>
    </row>
    <row r="48" spans="1:23" s="7" customFormat="1" ht="24.75" customHeight="1">
      <c r="A48" s="122"/>
      <c r="B48" s="6" t="s">
        <v>87</v>
      </c>
      <c r="C48" s="42">
        <f>C8+C44</f>
        <v>263460</v>
      </c>
      <c r="D48" s="42">
        <f>D8+D44</f>
        <v>152859.80000000002</v>
      </c>
      <c r="E48" s="42">
        <f>E8+E44</f>
        <v>142762.5</v>
      </c>
      <c r="F48" s="40">
        <f>E48/D48*100</f>
        <v>93.3944045458649</v>
      </c>
      <c r="G48" s="16">
        <f>G44+G8</f>
        <v>424988.9</v>
      </c>
      <c r="H48" s="16">
        <f>H44+H8</f>
        <v>436900.1000000001</v>
      </c>
      <c r="I48" s="17">
        <f t="shared" si="13"/>
        <v>102.80270849426894</v>
      </c>
      <c r="J48" s="16">
        <f>J44+J8</f>
        <v>35015</v>
      </c>
      <c r="K48" s="16">
        <f>K44+K8</f>
        <v>12316.6</v>
      </c>
      <c r="L48" s="17">
        <f t="shared" si="11"/>
        <v>35.17521062401828</v>
      </c>
      <c r="M48" s="16">
        <f>M44+M8</f>
        <v>46253.5</v>
      </c>
      <c r="N48" s="16">
        <f>N44+N8</f>
        <v>28290.7</v>
      </c>
      <c r="O48" s="17">
        <f t="shared" si="14"/>
        <v>61.16445241981688</v>
      </c>
      <c r="P48" s="16">
        <f>P44+P8</f>
        <v>71591.29999999999</v>
      </c>
      <c r="Q48" s="16">
        <f>Q44+Q8</f>
        <v>102155.20000000001</v>
      </c>
      <c r="R48" s="17">
        <f t="shared" si="15"/>
        <v>142.69219863307416</v>
      </c>
      <c r="S48" s="59">
        <f>S44+S8</f>
        <v>14771.200000000003</v>
      </c>
      <c r="T48" s="108">
        <f>T44+T8</f>
        <v>6823.299999999997</v>
      </c>
      <c r="U48" s="59">
        <f>U44+U8</f>
        <v>252658.59999999998</v>
      </c>
      <c r="V48" s="108">
        <f>V44+V8</f>
        <v>-11518.699999999999</v>
      </c>
      <c r="W48" s="108">
        <f>W44+W8</f>
        <v>-1048.8000000000006</v>
      </c>
    </row>
    <row r="49" spans="2:21" ht="84.75" customHeight="1" hidden="1">
      <c r="B49" s="81"/>
      <c r="C49" s="48"/>
      <c r="D49" s="62">
        <f>D48-E48</f>
        <v>10097.300000000017</v>
      </c>
      <c r="E49" s="12"/>
      <c r="F49" s="21"/>
      <c r="G49" s="82"/>
      <c r="H49" s="82"/>
      <c r="I49" s="58" t="e">
        <f t="shared" si="13"/>
        <v>#DIV/0!</v>
      </c>
      <c r="J49" s="12"/>
      <c r="K49" s="12"/>
      <c r="L49" s="12"/>
      <c r="M49" s="12"/>
      <c r="N49" s="12"/>
      <c r="O49" s="12"/>
      <c r="P49" s="12"/>
      <c r="Q49" s="12"/>
      <c r="R49" s="12"/>
      <c r="S49" s="62">
        <f>S48+обласной!S48</f>
        <v>14782.700000000003</v>
      </c>
      <c r="T49" s="62">
        <f>T48+обласной!U48</f>
        <v>7461.999999999997</v>
      </c>
      <c r="U49" s="12"/>
    </row>
    <row r="50" spans="2:21" ht="33.75" customHeight="1">
      <c r="B50" s="245"/>
      <c r="C50" s="245"/>
      <c r="D50" s="245"/>
      <c r="E50" s="245"/>
      <c r="F50" s="245"/>
      <c r="G50" s="245"/>
      <c r="H50" s="245"/>
      <c r="I50" s="245"/>
      <c r="J50" s="12"/>
      <c r="K50" s="12"/>
      <c r="L50" s="12"/>
      <c r="M50" s="12"/>
      <c r="N50" s="12"/>
      <c r="O50" s="12"/>
      <c r="P50" s="12"/>
      <c r="Q50" s="12"/>
      <c r="R50" s="12"/>
      <c r="S50" s="82"/>
      <c r="T50" s="82"/>
      <c r="U50" s="12"/>
    </row>
    <row r="51" spans="1:21" ht="18.75" customHeight="1" hidden="1">
      <c r="A51" s="120"/>
      <c r="B51" s="7" t="s">
        <v>92</v>
      </c>
      <c r="C51" s="48"/>
      <c r="D51" s="62">
        <f>D48+обласной!D48</f>
        <v>195515.5</v>
      </c>
      <c r="E51" s="62">
        <f>E48+обласной!E48</f>
        <v>192146.4</v>
      </c>
      <c r="F51" s="109">
        <f>E51/D51*100</f>
        <v>98.27681181287417</v>
      </c>
      <c r="G51" s="113"/>
      <c r="H51" s="113"/>
      <c r="I51" s="79"/>
      <c r="J51" s="12"/>
      <c r="K51" s="12"/>
      <c r="L51" s="12"/>
      <c r="M51" s="12"/>
      <c r="N51" s="12"/>
      <c r="O51" s="12"/>
      <c r="P51" s="12"/>
      <c r="Q51" s="12"/>
      <c r="R51" s="12"/>
      <c r="S51" s="62">
        <f>S48+обласной!S48</f>
        <v>14782.700000000003</v>
      </c>
      <c r="T51" s="87"/>
      <c r="U51" s="82"/>
    </row>
    <row r="52" spans="2:21" ht="6.75" customHeight="1" hidden="1">
      <c r="B52" s="7"/>
      <c r="C52" s="48"/>
      <c r="D52" s="62"/>
      <c r="E52" s="62"/>
      <c r="F52" s="109" t="e">
        <f>E52/D52*100</f>
        <v>#DIV/0!</v>
      </c>
      <c r="G52" s="112"/>
      <c r="H52" s="112"/>
      <c r="I52" s="79"/>
      <c r="J52" s="12"/>
      <c r="K52" s="12"/>
      <c r="L52" s="12"/>
      <c r="M52" s="12"/>
      <c r="N52" s="12"/>
      <c r="O52" s="12"/>
      <c r="P52" s="12"/>
      <c r="Q52" s="12"/>
      <c r="R52" s="12"/>
      <c r="S52" s="62"/>
      <c r="T52" s="87"/>
      <c r="U52" s="62"/>
    </row>
    <row r="53" spans="1:21" ht="18.75" customHeight="1" hidden="1">
      <c r="A53" s="120"/>
      <c r="B53" s="7" t="s">
        <v>93</v>
      </c>
      <c r="C53" s="48"/>
      <c r="D53" s="62">
        <f>D44+обласной!D44</f>
        <v>119349.6</v>
      </c>
      <c r="E53" s="62" t="e">
        <f>E48+#REF!+обласной!E48</f>
        <v>#REF!</v>
      </c>
      <c r="F53" s="109" t="e">
        <f>E53/D53*100</f>
        <v>#REF!</v>
      </c>
      <c r="G53" s="113"/>
      <c r="H53" s="113"/>
      <c r="I53" s="79"/>
      <c r="J53" s="12"/>
      <c r="K53" s="12"/>
      <c r="L53" s="12"/>
      <c r="M53" s="12"/>
      <c r="N53" s="12"/>
      <c r="O53" s="12"/>
      <c r="P53" s="12"/>
      <c r="Q53" s="12"/>
      <c r="R53" s="12"/>
      <c r="S53" s="62"/>
      <c r="T53" s="9"/>
      <c r="U53" s="62"/>
    </row>
    <row r="54" spans="2:21" ht="24.75" customHeight="1">
      <c r="B54" s="7"/>
      <c r="C54" s="48"/>
      <c r="D54" s="62">
        <f>D44+обласной!D44</f>
        <v>119349.6</v>
      </c>
      <c r="E54" s="62">
        <f>E44+обласной!E44</f>
        <v>123101.7</v>
      </c>
      <c r="F54" s="109">
        <f>E54/D54*100</f>
        <v>103.14378933821311</v>
      </c>
      <c r="G54" s="82"/>
      <c r="H54" s="82"/>
      <c r="I54" s="79"/>
      <c r="J54" s="12"/>
      <c r="K54" s="12"/>
      <c r="L54" s="12"/>
      <c r="M54" s="12"/>
      <c r="N54" s="12"/>
      <c r="O54" s="12"/>
      <c r="P54" s="12"/>
      <c r="Q54" s="12"/>
      <c r="R54" s="12"/>
      <c r="S54" s="62">
        <f>S44+обласной!S44</f>
        <v>1735</v>
      </c>
      <c r="T54" s="88"/>
      <c r="U54" s="62">
        <f>U44+обласной!U44</f>
        <v>241334.4</v>
      </c>
    </row>
    <row r="55" spans="1:23" s="150" customFormat="1" ht="48.75" customHeight="1">
      <c r="A55" s="142"/>
      <c r="B55" s="231" t="s">
        <v>119</v>
      </c>
      <c r="C55" s="231"/>
      <c r="D55" s="231"/>
      <c r="E55" s="231"/>
      <c r="F55" s="231"/>
      <c r="G55" s="231"/>
      <c r="H55" s="143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5"/>
      <c r="T55" s="146"/>
      <c r="U55" s="147" t="s">
        <v>118</v>
      </c>
      <c r="V55" s="148"/>
      <c r="W55" s="149"/>
    </row>
    <row r="56" spans="2:21" ht="46.5" customHeight="1" hidden="1">
      <c r="B56" s="246" t="s">
        <v>40</v>
      </c>
      <c r="C56" s="246"/>
      <c r="D56" s="246"/>
      <c r="E56" s="246"/>
      <c r="F56" s="24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89"/>
      <c r="U56" s="30"/>
    </row>
    <row r="57" spans="1:28" ht="73.5" customHeight="1" hidden="1">
      <c r="A57" s="181" t="s">
        <v>116</v>
      </c>
      <c r="B57" s="181"/>
      <c r="C57" s="181"/>
      <c r="D57" s="181"/>
      <c r="E57" s="110"/>
      <c r="F57" s="110"/>
      <c r="G57" s="110"/>
      <c r="H57" s="110"/>
      <c r="I57" s="9"/>
      <c r="J57" s="9"/>
      <c r="K57" s="9"/>
      <c r="L57" s="9"/>
      <c r="M57" s="9"/>
      <c r="N57" s="9"/>
      <c r="O57" s="9"/>
      <c r="P57" s="9"/>
      <c r="Q57" s="9"/>
      <c r="R57" s="9"/>
      <c r="S57" s="64"/>
      <c r="T57" s="90"/>
      <c r="U57" s="76" t="s">
        <v>111</v>
      </c>
      <c r="V57" s="9"/>
      <c r="W57" s="9"/>
      <c r="X57" s="9"/>
      <c r="Y57" s="9"/>
      <c r="Z57" s="9"/>
      <c r="AA57" s="64"/>
      <c r="AB57" s="76" t="s">
        <v>111</v>
      </c>
    </row>
    <row r="58" spans="2:21" ht="18.75">
      <c r="B58" s="1" t="s">
        <v>43</v>
      </c>
      <c r="C58" s="45">
        <v>278.9</v>
      </c>
      <c r="D58" s="33">
        <v>98.1</v>
      </c>
      <c r="E58" s="33">
        <v>0</v>
      </c>
      <c r="F58" s="18"/>
      <c r="G58" s="18">
        <v>761.9</v>
      </c>
      <c r="H58" s="18">
        <v>1041</v>
      </c>
      <c r="I58" s="18"/>
      <c r="J58" s="18">
        <v>53.1</v>
      </c>
      <c r="K58" s="18">
        <v>4.3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-0.20000000000004547</v>
      </c>
    </row>
    <row r="59" spans="2:21" ht="18.75">
      <c r="B59" s="1" t="s">
        <v>44</v>
      </c>
      <c r="C59" s="43">
        <v>923.4</v>
      </c>
      <c r="D59" s="9">
        <v>198.8</v>
      </c>
      <c r="E59" s="9">
        <v>0</v>
      </c>
      <c r="F59" s="9"/>
      <c r="G59" s="9">
        <v>2513</v>
      </c>
      <c r="H59" s="9">
        <v>3352.9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83.5</v>
      </c>
    </row>
    <row r="60" spans="3:21" ht="24.75" customHeight="1">
      <c r="C60" s="43"/>
      <c r="D60" s="9">
        <f>SUM(D58:D59)</f>
        <v>296.9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33.60117700316885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45</v>
      </c>
      <c r="C62" s="43">
        <f>C10+C18+C21+C27+C37+C39+C41</f>
        <v>3291.2000000000003</v>
      </c>
      <c r="D62" s="9">
        <f>D10+D18+D21+D27+D37+D39+D41</f>
        <v>11580.599999999999</v>
      </c>
      <c r="E62" s="9">
        <f>E10+E18+E21+E27+E37+E39+E41</f>
        <v>8929.699999999999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-541.3999999999986</v>
      </c>
    </row>
    <row r="63" spans="2:21" ht="18.75">
      <c r="B63" s="1" t="s">
        <v>46</v>
      </c>
      <c r="C63" s="43">
        <f>C12+C14+C15+C17+C19+C20+C26</f>
        <v>1398.8</v>
      </c>
      <c r="D63" s="9">
        <f>D12+D14+D15+D17+D19+D20+D26</f>
        <v>8303.9</v>
      </c>
      <c r="E63" s="9">
        <f>E12+E14+E15+E17+E19+E20+E26</f>
        <v>7918.900000000001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1566.8999999999999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P5:R5"/>
    <mergeCell ref="D30:U32"/>
    <mergeCell ref="B50:I50"/>
    <mergeCell ref="B56:F56"/>
    <mergeCell ref="G5:I5"/>
    <mergeCell ref="T5:T7"/>
    <mergeCell ref="C5:C6"/>
    <mergeCell ref="B55:G55"/>
    <mergeCell ref="A57:D57"/>
    <mergeCell ref="D24:U24"/>
    <mergeCell ref="M5:O5"/>
    <mergeCell ref="G1:U1"/>
    <mergeCell ref="B2:U2"/>
    <mergeCell ref="B3:U3"/>
    <mergeCell ref="D5:F5"/>
    <mergeCell ref="S5:S7"/>
    <mergeCell ref="U5:U7"/>
    <mergeCell ref="J5:L5"/>
  </mergeCells>
  <printOptions horizont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portrait" paperSize="9" scale="57" r:id="rId2"/>
  <rowBreaks count="1" manualBreakCount="1">
    <brk id="55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B105"/>
  <sheetViews>
    <sheetView view="pageBreakPreview" zoomScale="89" zoomScaleNormal="75" zoomScaleSheetLayoutView="89" zoomScalePageLayoutView="0" workbookViewId="0" topLeftCell="A1">
      <pane xSplit="2" ySplit="7" topLeftCell="C44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53" sqref="H53"/>
    </sheetView>
  </sheetViews>
  <sheetFormatPr defaultColWidth="7.875" defaultRowHeight="12.75"/>
  <cols>
    <col min="1" max="1" width="6.625" style="14" customWidth="1"/>
    <col min="2" max="2" width="56.875" style="1" customWidth="1"/>
    <col min="3" max="3" width="16.875" style="39" customWidth="1"/>
    <col min="4" max="4" width="14.625" style="1" hidden="1" customWidth="1"/>
    <col min="5" max="5" width="14.75390625" style="1" hidden="1" customWidth="1"/>
    <col min="6" max="6" width="11.125" style="1" hidden="1" customWidth="1"/>
    <col min="7" max="8" width="19.875" style="1" customWidth="1"/>
    <col min="9" max="9" width="13.75390625" style="1" customWidth="1"/>
    <col min="10" max="11" width="14.75390625" style="1" hidden="1" customWidth="1"/>
    <col min="12" max="12" width="11.00390625" style="1" hidden="1" customWidth="1"/>
    <col min="13" max="14" width="14.625" style="1" hidden="1" customWidth="1"/>
    <col min="15" max="15" width="11.75390625" style="1" hidden="1" customWidth="1"/>
    <col min="16" max="17" width="14.625" style="1" hidden="1" customWidth="1"/>
    <col min="18" max="18" width="11.75390625" style="1" hidden="1" customWidth="1"/>
    <col min="19" max="19" width="20.75390625" style="1" hidden="1" customWidth="1"/>
    <col min="20" max="20" width="12.375" style="74" hidden="1" customWidth="1"/>
    <col min="21" max="21" width="22.625" style="1" customWidth="1"/>
    <col min="22" max="22" width="13.125" style="1" customWidth="1"/>
    <col min="23" max="23" width="13.75390625" style="1" customWidth="1"/>
    <col min="24" max="16384" width="7.875" style="1" customWidth="1"/>
  </cols>
  <sheetData>
    <row r="1" spans="7:21" ht="18.75"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</row>
    <row r="2" spans="2:21" ht="18.75">
      <c r="B2" s="212" t="s">
        <v>96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2:21" ht="37.5" customHeight="1">
      <c r="B3" s="212" t="s">
        <v>122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2:21" ht="18.75">
      <c r="B4" s="213"/>
      <c r="C4" s="213"/>
      <c r="D4" s="213"/>
      <c r="E4" s="213"/>
      <c r="F4" s="213"/>
      <c r="U4" s="74" t="s">
        <v>54</v>
      </c>
    </row>
    <row r="5" spans="1:21" ht="34.5" customHeight="1">
      <c r="A5" s="117"/>
      <c r="B5" s="3"/>
      <c r="C5" s="214" t="s">
        <v>1</v>
      </c>
      <c r="D5" s="237" t="s">
        <v>110</v>
      </c>
      <c r="E5" s="238"/>
      <c r="F5" s="239"/>
      <c r="G5" s="216" t="s">
        <v>121</v>
      </c>
      <c r="H5" s="217"/>
      <c r="I5" s="218"/>
      <c r="J5" s="188" t="s">
        <v>109</v>
      </c>
      <c r="K5" s="189"/>
      <c r="L5" s="190"/>
      <c r="M5" s="188" t="s">
        <v>112</v>
      </c>
      <c r="N5" s="189"/>
      <c r="O5" s="190"/>
      <c r="P5" s="188" t="s">
        <v>113</v>
      </c>
      <c r="Q5" s="189"/>
      <c r="R5" s="190"/>
      <c r="S5" s="197" t="s">
        <v>114</v>
      </c>
      <c r="T5" s="197" t="s">
        <v>120</v>
      </c>
      <c r="U5" s="191" t="s">
        <v>124</v>
      </c>
    </row>
    <row r="6" spans="1:21" ht="21" customHeight="1">
      <c r="A6" s="4" t="s">
        <v>39</v>
      </c>
      <c r="B6" s="4" t="s">
        <v>50</v>
      </c>
      <c r="C6" s="215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8"/>
      <c r="T6" s="198"/>
      <c r="U6" s="192"/>
    </row>
    <row r="7" spans="1:21" ht="41.25" customHeight="1">
      <c r="A7" s="4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9"/>
      <c r="T7" s="199"/>
      <c r="U7" s="193"/>
    </row>
    <row r="8" spans="1:23" s="7" customFormat="1" ht="36" customHeight="1">
      <c r="A8" s="119"/>
      <c r="B8" s="75" t="s">
        <v>55</v>
      </c>
      <c r="C8" s="47">
        <f>SUM(C9:C43)</f>
        <v>-1453.9</v>
      </c>
      <c r="D8" s="40">
        <f>SUM(D9:D43)</f>
        <v>11204.900000000001</v>
      </c>
      <c r="E8" s="40">
        <f>SUM(E9:E43)</f>
        <v>13092.2</v>
      </c>
      <c r="F8" s="40">
        <f aca="true" t="shared" si="0" ref="F8:F26">E8/D8*100</f>
        <v>116.84352381547359</v>
      </c>
      <c r="G8" s="17">
        <f>SUM(G9:G43)</f>
        <v>23435.1</v>
      </c>
      <c r="H8" s="17">
        <f>SUM(H9:H43)</f>
        <v>24085.499999999996</v>
      </c>
      <c r="I8" s="17">
        <f aca="true" t="shared" si="1" ref="I8:I46">H8/G8*100</f>
        <v>102.77532419319738</v>
      </c>
      <c r="J8" s="17">
        <f>SUM(J9:J43)</f>
        <v>2354.5000000000005</v>
      </c>
      <c r="K8" s="17">
        <f>SUM(K9:K43)</f>
        <v>2335.7999999999997</v>
      </c>
      <c r="L8" s="17">
        <f aca="true" t="shared" si="2" ref="L8:L47">K8/J8*100</f>
        <v>99.20577617328516</v>
      </c>
      <c r="M8" s="17">
        <f>SUM(M9:M43)</f>
        <v>3554.1</v>
      </c>
      <c r="N8" s="17">
        <f>SUM(N9:N43)</f>
        <v>4258.400000000001</v>
      </c>
      <c r="O8" s="17">
        <f>N8/M8*100</f>
        <v>119.81654990011539</v>
      </c>
      <c r="P8" s="17">
        <f>SUM(P9:P43)</f>
        <v>5296.3</v>
      </c>
      <c r="Q8" s="17">
        <f>SUM(Q9:Q43)</f>
        <v>6447.300000000001</v>
      </c>
      <c r="R8" s="17">
        <f>Q8/P8*100</f>
        <v>121.73215263485831</v>
      </c>
      <c r="S8" s="60">
        <f>SUMIF(S9:S43,"&gt;0",S9:S43)</f>
        <v>11.5</v>
      </c>
      <c r="T8" s="105">
        <f>SUMIF(T9:T43,"&gt;0",T9:T43)</f>
        <v>1223.6</v>
      </c>
      <c r="U8" s="60">
        <f>SUMIF(U9:U43,"&gt;0",U9:U43)</f>
        <v>638.6999999999999</v>
      </c>
      <c r="V8" s="105">
        <f>SUMIF(T9:T43,"&lt;0",T9:T43)</f>
        <v>-1873.9999999999995</v>
      </c>
      <c r="W8" s="105">
        <f>SUMIF(U9:U43,"&lt;0",U9:U43)</f>
        <v>-2742.999999999999</v>
      </c>
    </row>
    <row r="9" spans="1:23" ht="37.5" customHeight="1">
      <c r="A9" s="120">
        <v>1</v>
      </c>
      <c r="B9" s="23" t="s">
        <v>56</v>
      </c>
      <c r="C9" s="41">
        <v>-19.6</v>
      </c>
      <c r="D9" s="41">
        <f>J9+M9+P9</f>
        <v>464.1</v>
      </c>
      <c r="E9" s="41">
        <f>K9+N9+Q9</f>
        <v>464.1</v>
      </c>
      <c r="F9" s="92">
        <f t="shared" si="0"/>
        <v>100</v>
      </c>
      <c r="G9" s="18">
        <v>1060.4</v>
      </c>
      <c r="H9" s="18">
        <v>1207.4</v>
      </c>
      <c r="I9" s="18">
        <f t="shared" si="1"/>
        <v>113.86269332327423</v>
      </c>
      <c r="J9" s="18">
        <v>85.1</v>
      </c>
      <c r="K9" s="18">
        <v>77.9</v>
      </c>
      <c r="L9" s="18">
        <f t="shared" si="2"/>
        <v>91.53936545240894</v>
      </c>
      <c r="M9" s="18">
        <v>146.2</v>
      </c>
      <c r="N9" s="18">
        <v>154.5</v>
      </c>
      <c r="O9" s="18">
        <f>N9/M9*100</f>
        <v>105.67715458276335</v>
      </c>
      <c r="P9" s="18">
        <v>232.8</v>
      </c>
      <c r="Q9" s="18">
        <v>231.7</v>
      </c>
      <c r="R9" s="18">
        <f>Q9/P9*100</f>
        <v>99.5274914089347</v>
      </c>
      <c r="S9" s="17">
        <f>D9-E9</f>
        <v>0</v>
      </c>
      <c r="T9" s="68">
        <f>G9-H9</f>
        <v>-147</v>
      </c>
      <c r="U9" s="16">
        <f aca="true" t="shared" si="3" ref="U9:U23">C9+G9-H9</f>
        <v>-166.5999999999999</v>
      </c>
      <c r="W9" s="19">
        <f>G9-H9</f>
        <v>-147</v>
      </c>
    </row>
    <row r="10" spans="1:23" ht="36.75" customHeight="1">
      <c r="A10" s="120">
        <v>2</v>
      </c>
      <c r="B10" s="53" t="s">
        <v>91</v>
      </c>
      <c r="C10" s="41">
        <v>3.2</v>
      </c>
      <c r="D10" s="41">
        <f aca="true" t="shared" si="4" ref="D10:D26">J10+M10+P10</f>
        <v>178.7</v>
      </c>
      <c r="E10" s="41">
        <f>K10+N10+Q10</f>
        <v>197.2</v>
      </c>
      <c r="F10" s="92">
        <f t="shared" si="0"/>
        <v>110.35254616675994</v>
      </c>
      <c r="G10" s="18">
        <v>321.1</v>
      </c>
      <c r="H10" s="18">
        <v>377.3</v>
      </c>
      <c r="I10" s="18">
        <f t="shared" si="1"/>
        <v>117.50233572095921</v>
      </c>
      <c r="J10" s="18">
        <v>17.4</v>
      </c>
      <c r="K10" s="18">
        <v>0</v>
      </c>
      <c r="L10" s="18">
        <f t="shared" si="2"/>
        <v>0</v>
      </c>
      <c r="M10" s="18">
        <v>50.3</v>
      </c>
      <c r="N10" s="18">
        <v>80</v>
      </c>
      <c r="O10" s="18">
        <f>N10/M10*100</f>
        <v>159.04572564612326</v>
      </c>
      <c r="P10" s="18">
        <v>111</v>
      </c>
      <c r="Q10" s="18">
        <v>117.2</v>
      </c>
      <c r="R10" s="18">
        <f>Q10/P10*100</f>
        <v>105.58558558558559</v>
      </c>
      <c r="S10" s="17">
        <f>D10-E10</f>
        <v>-18.5</v>
      </c>
      <c r="T10" s="68">
        <f aca="true" t="shared" si="5" ref="T10:T23">G10-H10</f>
        <v>-56.19999999999999</v>
      </c>
      <c r="U10" s="16">
        <f t="shared" si="3"/>
        <v>-53</v>
      </c>
      <c r="W10" s="19">
        <f aca="true" t="shared" si="6" ref="W10:W46">G10-H10</f>
        <v>-56.19999999999999</v>
      </c>
    </row>
    <row r="11" spans="1:23" ht="36" customHeight="1">
      <c r="A11" s="120">
        <v>3</v>
      </c>
      <c r="B11" s="25" t="s">
        <v>108</v>
      </c>
      <c r="C11" s="34">
        <v>0</v>
      </c>
      <c r="D11" s="41">
        <f t="shared" si="4"/>
        <v>0</v>
      </c>
      <c r="E11" s="34">
        <f>K11</f>
        <v>0</v>
      </c>
      <c r="F11" s="26"/>
      <c r="G11" s="26"/>
      <c r="H11" s="26"/>
      <c r="I11" s="26" t="e">
        <f t="shared" si="1"/>
        <v>#DIV/0!</v>
      </c>
      <c r="J11" s="26"/>
      <c r="K11" s="26"/>
      <c r="L11" s="26" t="e">
        <f t="shared" si="2"/>
        <v>#DIV/0!</v>
      </c>
      <c r="M11" s="26"/>
      <c r="N11" s="26"/>
      <c r="O11" s="26"/>
      <c r="P11" s="26"/>
      <c r="Q11" s="26"/>
      <c r="R11" s="26"/>
      <c r="S11" s="35">
        <f>D11-E11</f>
        <v>0</v>
      </c>
      <c r="T11" s="68">
        <f t="shared" si="5"/>
        <v>0</v>
      </c>
      <c r="U11" s="80">
        <f t="shared" si="3"/>
        <v>0</v>
      </c>
      <c r="W11" s="19">
        <f t="shared" si="6"/>
        <v>0</v>
      </c>
    </row>
    <row r="12" spans="1:23" ht="24" customHeight="1">
      <c r="A12" s="120">
        <v>4</v>
      </c>
      <c r="B12" s="23" t="s">
        <v>57</v>
      </c>
      <c r="C12" s="41"/>
      <c r="D12" s="41">
        <f t="shared" si="4"/>
        <v>0</v>
      </c>
      <c r="E12" s="41">
        <f>K12+N12+Q12</f>
        <v>0</v>
      </c>
      <c r="F12" s="26" t="e">
        <f t="shared" si="0"/>
        <v>#DIV/0!</v>
      </c>
      <c r="G12" s="18">
        <v>0</v>
      </c>
      <c r="H12" s="18">
        <v>0</v>
      </c>
      <c r="I12" s="18"/>
      <c r="J12" s="18"/>
      <c r="K12" s="18"/>
      <c r="L12" s="18" t="e">
        <f t="shared" si="2"/>
        <v>#DIV/0!</v>
      </c>
      <c r="M12" s="18">
        <v>0</v>
      </c>
      <c r="N12" s="18">
        <v>0</v>
      </c>
      <c r="O12" s="18"/>
      <c r="P12" s="18"/>
      <c r="Q12" s="18"/>
      <c r="R12" s="18"/>
      <c r="S12" s="17">
        <f>D12-E12</f>
        <v>0</v>
      </c>
      <c r="T12" s="68">
        <f t="shared" si="5"/>
        <v>0</v>
      </c>
      <c r="U12" s="16"/>
      <c r="W12" s="19">
        <f t="shared" si="6"/>
        <v>0</v>
      </c>
    </row>
    <row r="13" spans="1:23" s="27" customFormat="1" ht="24" customHeight="1">
      <c r="A13" s="120">
        <v>5</v>
      </c>
      <c r="B13" s="23" t="s">
        <v>89</v>
      </c>
      <c r="C13" s="34">
        <v>0</v>
      </c>
      <c r="D13" s="41">
        <f t="shared" si="4"/>
        <v>0</v>
      </c>
      <c r="E13" s="34">
        <f>K13</f>
        <v>0</v>
      </c>
      <c r="F13" s="92"/>
      <c r="G13" s="26"/>
      <c r="H13" s="26"/>
      <c r="I13" s="26" t="e">
        <f t="shared" si="1"/>
        <v>#DIV/0!</v>
      </c>
      <c r="J13" s="26"/>
      <c r="K13" s="26"/>
      <c r="L13" s="26" t="e">
        <f t="shared" si="2"/>
        <v>#DIV/0!</v>
      </c>
      <c r="M13" s="26"/>
      <c r="N13" s="26"/>
      <c r="O13" s="26"/>
      <c r="P13" s="26"/>
      <c r="Q13" s="26"/>
      <c r="R13" s="26"/>
      <c r="S13" s="35" t="e">
        <f>#REF!</f>
        <v>#REF!</v>
      </c>
      <c r="T13" s="68">
        <f t="shared" si="5"/>
        <v>0</v>
      </c>
      <c r="U13" s="80">
        <f t="shared" si="3"/>
        <v>0</v>
      </c>
      <c r="W13" s="19">
        <f>G13-H13</f>
        <v>0</v>
      </c>
    </row>
    <row r="14" spans="1:23" s="27" customFormat="1" ht="24" customHeight="1">
      <c r="A14" s="120">
        <v>6</v>
      </c>
      <c r="B14" s="23" t="s">
        <v>58</v>
      </c>
      <c r="C14" s="41">
        <v>0</v>
      </c>
      <c r="D14" s="41">
        <f t="shared" si="4"/>
        <v>20.8</v>
      </c>
      <c r="E14" s="41">
        <f>K14+N14+Q14</f>
        <v>20.8</v>
      </c>
      <c r="F14" s="26">
        <f t="shared" si="0"/>
        <v>100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26" t="e">
        <f t="shared" si="2"/>
        <v>#DIV/0!</v>
      </c>
      <c r="M14" s="26"/>
      <c r="N14" s="26"/>
      <c r="O14" s="18" t="e">
        <f>N14/M14*100</f>
        <v>#DIV/0!</v>
      </c>
      <c r="P14" s="18">
        <v>20.8</v>
      </c>
      <c r="Q14" s="18">
        <v>20.8</v>
      </c>
      <c r="R14" s="18">
        <f>Q14/P14*100</f>
        <v>100</v>
      </c>
      <c r="S14" s="17">
        <f>D14-E14</f>
        <v>0</v>
      </c>
      <c r="T14" s="68">
        <f t="shared" si="5"/>
        <v>0</v>
      </c>
      <c r="U14" s="16">
        <f t="shared" si="3"/>
        <v>0</v>
      </c>
      <c r="W14" s="19">
        <f t="shared" si="6"/>
        <v>0</v>
      </c>
    </row>
    <row r="15" spans="1:23" ht="24" customHeight="1">
      <c r="A15" s="120">
        <v>7</v>
      </c>
      <c r="B15" s="23" t="s">
        <v>59</v>
      </c>
      <c r="C15" s="34">
        <v>0</v>
      </c>
      <c r="D15" s="41">
        <f t="shared" si="4"/>
        <v>0</v>
      </c>
      <c r="E15" s="41">
        <f aca="true" t="shared" si="7" ref="E15:E26">K15+N15+Q15</f>
        <v>0</v>
      </c>
      <c r="F15" s="92"/>
      <c r="G15" s="26"/>
      <c r="H15" s="26"/>
      <c r="I15" s="26" t="e">
        <f t="shared" si="1"/>
        <v>#DIV/0!</v>
      </c>
      <c r="J15" s="26"/>
      <c r="K15" s="26"/>
      <c r="L15" s="26" t="e">
        <f t="shared" si="2"/>
        <v>#DIV/0!</v>
      </c>
      <c r="M15" s="26"/>
      <c r="N15" s="26"/>
      <c r="O15" s="18" t="e">
        <f>N15/M15*100</f>
        <v>#DIV/0!</v>
      </c>
      <c r="P15" s="18"/>
      <c r="Q15" s="18"/>
      <c r="R15" s="18"/>
      <c r="S15" s="35">
        <f>D15-E15</f>
        <v>0</v>
      </c>
      <c r="T15" s="68">
        <f t="shared" si="5"/>
        <v>0</v>
      </c>
      <c r="U15" s="80">
        <f t="shared" si="3"/>
        <v>0</v>
      </c>
      <c r="W15" s="19">
        <f t="shared" si="6"/>
        <v>0</v>
      </c>
    </row>
    <row r="16" spans="1:23" s="27" customFormat="1" ht="24" customHeight="1">
      <c r="A16" s="120">
        <v>8</v>
      </c>
      <c r="B16" s="23" t="s">
        <v>60</v>
      </c>
      <c r="C16" s="41">
        <v>-180.2</v>
      </c>
      <c r="D16" s="41">
        <f t="shared" si="4"/>
        <v>602.6</v>
      </c>
      <c r="E16" s="41">
        <f t="shared" si="7"/>
        <v>702.9</v>
      </c>
      <c r="F16" s="92">
        <f t="shared" si="0"/>
        <v>116.64454032525722</v>
      </c>
      <c r="G16" s="18">
        <v>1106.6</v>
      </c>
      <c r="H16" s="18">
        <v>1143.4</v>
      </c>
      <c r="I16" s="18">
        <f t="shared" si="1"/>
        <v>103.32550153623714</v>
      </c>
      <c r="J16" s="18">
        <v>103.9</v>
      </c>
      <c r="K16" s="18">
        <f>36.7+22.6</f>
        <v>59.300000000000004</v>
      </c>
      <c r="L16" s="18">
        <f t="shared" si="2"/>
        <v>57.07410972088547</v>
      </c>
      <c r="M16" s="18">
        <v>169.2</v>
      </c>
      <c r="N16" s="18">
        <v>274.7</v>
      </c>
      <c r="O16" s="18">
        <f>N16/M16*100</f>
        <v>162.35224586288416</v>
      </c>
      <c r="P16" s="18">
        <v>329.5</v>
      </c>
      <c r="Q16" s="18">
        <v>368.9</v>
      </c>
      <c r="R16" s="18">
        <f>Q16/P16*100</f>
        <v>111.9575113808801</v>
      </c>
      <c r="S16" s="17">
        <f>D16-E16</f>
        <v>-100.29999999999995</v>
      </c>
      <c r="T16" s="68">
        <f t="shared" si="5"/>
        <v>-36.80000000000018</v>
      </c>
      <c r="U16" s="16">
        <f t="shared" si="3"/>
        <v>-217.00000000000023</v>
      </c>
      <c r="W16" s="19">
        <f t="shared" si="6"/>
        <v>-36.80000000000018</v>
      </c>
    </row>
    <row r="17" spans="1:23" s="27" customFormat="1" ht="24" customHeight="1">
      <c r="A17" s="120">
        <v>9</v>
      </c>
      <c r="B17" s="23" t="s">
        <v>61</v>
      </c>
      <c r="C17" s="34">
        <v>0</v>
      </c>
      <c r="D17" s="41">
        <f t="shared" si="4"/>
        <v>0</v>
      </c>
      <c r="E17" s="41">
        <f t="shared" si="7"/>
        <v>0</v>
      </c>
      <c r="F17" s="92"/>
      <c r="G17" s="26"/>
      <c r="H17" s="26"/>
      <c r="I17" s="26" t="e">
        <f t="shared" si="1"/>
        <v>#DIV/0!</v>
      </c>
      <c r="J17" s="26"/>
      <c r="K17" s="26"/>
      <c r="L17" s="26" t="e">
        <f t="shared" si="2"/>
        <v>#DIV/0!</v>
      </c>
      <c r="M17" s="26"/>
      <c r="N17" s="26"/>
      <c r="O17" s="26"/>
      <c r="P17" s="26"/>
      <c r="Q17" s="26"/>
      <c r="R17" s="26"/>
      <c r="S17" s="35" t="e">
        <f>#REF!</f>
        <v>#REF!</v>
      </c>
      <c r="T17" s="68">
        <f>G17-H17</f>
        <v>0</v>
      </c>
      <c r="U17" s="80">
        <f t="shared" si="3"/>
        <v>0</v>
      </c>
      <c r="W17" s="19">
        <f t="shared" si="6"/>
        <v>0</v>
      </c>
    </row>
    <row r="18" spans="1:23" ht="24" customHeight="1">
      <c r="A18" s="120">
        <v>10</v>
      </c>
      <c r="B18" s="25" t="s">
        <v>62</v>
      </c>
      <c r="C18" s="34">
        <v>0</v>
      </c>
      <c r="D18" s="41">
        <f t="shared" si="4"/>
        <v>0</v>
      </c>
      <c r="E18" s="41">
        <f t="shared" si="7"/>
        <v>0</v>
      </c>
      <c r="F18" s="92"/>
      <c r="G18" s="26"/>
      <c r="H18" s="26"/>
      <c r="I18" s="26" t="e">
        <f t="shared" si="1"/>
        <v>#DIV/0!</v>
      </c>
      <c r="J18" s="26"/>
      <c r="K18" s="26"/>
      <c r="L18" s="26" t="e">
        <f t="shared" si="2"/>
        <v>#DIV/0!</v>
      </c>
      <c r="M18" s="26"/>
      <c r="N18" s="26"/>
      <c r="O18" s="26"/>
      <c r="P18" s="26"/>
      <c r="Q18" s="26"/>
      <c r="R18" s="26"/>
      <c r="S18" s="35" t="e">
        <f>#REF!</f>
        <v>#REF!</v>
      </c>
      <c r="T18" s="68">
        <f t="shared" si="5"/>
        <v>0</v>
      </c>
      <c r="U18" s="80">
        <f t="shared" si="3"/>
        <v>0</v>
      </c>
      <c r="W18" s="19">
        <f t="shared" si="6"/>
        <v>0</v>
      </c>
    </row>
    <row r="19" spans="1:23" ht="24" customHeight="1">
      <c r="A19" s="120">
        <v>11</v>
      </c>
      <c r="B19" s="25" t="s">
        <v>63</v>
      </c>
      <c r="C19" s="34">
        <v>0</v>
      </c>
      <c r="D19" s="41">
        <f t="shared" si="4"/>
        <v>0</v>
      </c>
      <c r="E19" s="41">
        <f t="shared" si="7"/>
        <v>0</v>
      </c>
      <c r="F19" s="92"/>
      <c r="G19" s="26"/>
      <c r="H19" s="26"/>
      <c r="I19" s="26" t="e">
        <f t="shared" si="1"/>
        <v>#DIV/0!</v>
      </c>
      <c r="J19" s="26"/>
      <c r="K19" s="26"/>
      <c r="L19" s="26" t="e">
        <f t="shared" si="2"/>
        <v>#DIV/0!</v>
      </c>
      <c r="M19" s="26"/>
      <c r="N19" s="26"/>
      <c r="O19" s="26"/>
      <c r="P19" s="26"/>
      <c r="Q19" s="26"/>
      <c r="R19" s="26"/>
      <c r="S19" s="35">
        <f>D19-E19</f>
        <v>0</v>
      </c>
      <c r="T19" s="68">
        <f t="shared" si="5"/>
        <v>0</v>
      </c>
      <c r="U19" s="80">
        <f t="shared" si="3"/>
        <v>0</v>
      </c>
      <c r="W19" s="19">
        <f t="shared" si="6"/>
        <v>0</v>
      </c>
    </row>
    <row r="20" spans="1:23" ht="24" customHeight="1">
      <c r="A20" s="120">
        <v>12</v>
      </c>
      <c r="B20" s="23" t="s">
        <v>90</v>
      </c>
      <c r="C20" s="41">
        <f>-130.9-94.9</f>
        <v>-225.8</v>
      </c>
      <c r="D20" s="41">
        <f t="shared" si="4"/>
        <v>1189.6</v>
      </c>
      <c r="E20" s="41">
        <f>K20+N20+Q20+50.7</f>
        <v>1189.6000000000001</v>
      </c>
      <c r="F20" s="92">
        <f t="shared" si="0"/>
        <v>100.00000000000003</v>
      </c>
      <c r="G20" s="18">
        <f>87.5+1992</f>
        <v>2079.5</v>
      </c>
      <c r="H20" s="18">
        <f>-45.6+1969</f>
        <v>1923.4</v>
      </c>
      <c r="I20" s="18">
        <f t="shared" si="1"/>
        <v>92.49338783361385</v>
      </c>
      <c r="J20" s="18">
        <v>288.7</v>
      </c>
      <c r="K20" s="18">
        <v>400</v>
      </c>
      <c r="L20" s="18">
        <f t="shared" si="2"/>
        <v>138.55213023900242</v>
      </c>
      <c r="M20" s="18">
        <v>366.3</v>
      </c>
      <c r="N20" s="18">
        <v>386.6</v>
      </c>
      <c r="O20" s="18">
        <f>N20/M20*100</f>
        <v>105.54190554190555</v>
      </c>
      <c r="P20" s="18">
        <v>534.6</v>
      </c>
      <c r="Q20" s="18">
        <v>352.3</v>
      </c>
      <c r="R20" s="18">
        <f>Q20/P20*100</f>
        <v>65.89973812196034</v>
      </c>
      <c r="S20" s="17">
        <f>D20-E20</f>
        <v>0</v>
      </c>
      <c r="T20" s="68">
        <f t="shared" si="5"/>
        <v>156.0999999999999</v>
      </c>
      <c r="U20" s="16">
        <f t="shared" si="3"/>
        <v>-69.70000000000005</v>
      </c>
      <c r="W20" s="19">
        <f t="shared" si="6"/>
        <v>156.0999999999999</v>
      </c>
    </row>
    <row r="21" spans="1:23" ht="24" customHeight="1">
      <c r="A21" s="120">
        <v>13</v>
      </c>
      <c r="B21" s="25" t="s">
        <v>64</v>
      </c>
      <c r="C21" s="41">
        <v>-11.7</v>
      </c>
      <c r="D21" s="41">
        <f t="shared" si="4"/>
        <v>453.9</v>
      </c>
      <c r="E21" s="41">
        <f t="shared" si="7"/>
        <v>478.29999999999995</v>
      </c>
      <c r="F21" s="92">
        <f t="shared" si="0"/>
        <v>105.37563339942717</v>
      </c>
      <c r="G21" s="18">
        <v>0</v>
      </c>
      <c r="H21" s="18">
        <v>0</v>
      </c>
      <c r="I21" s="126" t="e">
        <f t="shared" si="1"/>
        <v>#DIV/0!</v>
      </c>
      <c r="J21" s="18">
        <v>42.6</v>
      </c>
      <c r="K21" s="18">
        <v>73.7</v>
      </c>
      <c r="L21" s="18">
        <f t="shared" si="2"/>
        <v>173.00469483568074</v>
      </c>
      <c r="M21" s="18">
        <v>137.9</v>
      </c>
      <c r="N21" s="18">
        <v>170</v>
      </c>
      <c r="O21" s="18">
        <f>N21/M21*100</f>
        <v>123.27773749093545</v>
      </c>
      <c r="P21" s="18">
        <v>273.4</v>
      </c>
      <c r="Q21" s="18">
        <v>234.6</v>
      </c>
      <c r="R21" s="18">
        <f>Q21/P21*100</f>
        <v>85.80833942940747</v>
      </c>
      <c r="S21" s="17">
        <f>D21-E21</f>
        <v>-24.399999999999977</v>
      </c>
      <c r="T21" s="68">
        <f t="shared" si="5"/>
        <v>0</v>
      </c>
      <c r="U21" s="16">
        <f t="shared" si="3"/>
        <v>-11.7</v>
      </c>
      <c r="W21" s="19">
        <f t="shared" si="6"/>
        <v>0</v>
      </c>
    </row>
    <row r="22" spans="1:23" ht="24" customHeight="1">
      <c r="A22" s="120">
        <v>14</v>
      </c>
      <c r="B22" s="25" t="s">
        <v>65</v>
      </c>
      <c r="C22" s="41">
        <v>-319.8</v>
      </c>
      <c r="D22" s="41">
        <f t="shared" si="4"/>
        <v>683</v>
      </c>
      <c r="E22" s="41">
        <f t="shared" si="7"/>
        <v>996.1</v>
      </c>
      <c r="F22" s="92">
        <f t="shared" si="0"/>
        <v>145.84187408491948</v>
      </c>
      <c r="G22" s="18">
        <v>2065.9</v>
      </c>
      <c r="H22" s="18">
        <v>1782.1</v>
      </c>
      <c r="I22" s="18">
        <f t="shared" si="1"/>
        <v>86.26264582022363</v>
      </c>
      <c r="J22" s="18">
        <v>149.8</v>
      </c>
      <c r="K22" s="18">
        <v>188.8</v>
      </c>
      <c r="L22" s="18">
        <f t="shared" si="2"/>
        <v>126.0347129506008</v>
      </c>
      <c r="M22" s="18">
        <v>247.3</v>
      </c>
      <c r="N22" s="18">
        <v>239.9</v>
      </c>
      <c r="O22" s="18">
        <f>N22/M22*100</f>
        <v>97.00768297614233</v>
      </c>
      <c r="P22" s="18">
        <v>285.9</v>
      </c>
      <c r="Q22" s="18">
        <v>567.4</v>
      </c>
      <c r="R22" s="18">
        <f>Q22/P22*100</f>
        <v>198.46100034977266</v>
      </c>
      <c r="S22" s="17">
        <f>D22-E22</f>
        <v>-313.1</v>
      </c>
      <c r="T22" s="68">
        <f t="shared" si="5"/>
        <v>283.8000000000002</v>
      </c>
      <c r="U22" s="16">
        <f t="shared" si="3"/>
        <v>-35.99999999999977</v>
      </c>
      <c r="V22" s="19">
        <f>U22+U38</f>
        <v>124.40000000000032</v>
      </c>
      <c r="W22" s="19">
        <f t="shared" si="6"/>
        <v>283.8000000000002</v>
      </c>
    </row>
    <row r="23" spans="1:23" ht="39.75" customHeight="1">
      <c r="A23" s="120">
        <v>15</v>
      </c>
      <c r="B23" s="25" t="s">
        <v>66</v>
      </c>
      <c r="C23" s="34">
        <v>0</v>
      </c>
      <c r="D23" s="41">
        <f t="shared" si="4"/>
        <v>0</v>
      </c>
      <c r="E23" s="41">
        <f t="shared" si="7"/>
        <v>0</v>
      </c>
      <c r="F23" s="92"/>
      <c r="G23" s="26"/>
      <c r="H23" s="26"/>
      <c r="I23" s="26" t="e">
        <f t="shared" si="1"/>
        <v>#DIV/0!</v>
      </c>
      <c r="J23" s="26"/>
      <c r="K23" s="26"/>
      <c r="L23" s="26" t="e">
        <f t="shared" si="2"/>
        <v>#DIV/0!</v>
      </c>
      <c r="M23" s="26"/>
      <c r="N23" s="26"/>
      <c r="O23" s="26"/>
      <c r="P23" s="26"/>
      <c r="Q23" s="26"/>
      <c r="R23" s="26"/>
      <c r="S23" s="35" t="e">
        <f>#REF!</f>
        <v>#REF!</v>
      </c>
      <c r="T23" s="68">
        <f t="shared" si="5"/>
        <v>0</v>
      </c>
      <c r="U23" s="80">
        <f t="shared" si="3"/>
        <v>0</v>
      </c>
      <c r="W23" s="19">
        <f t="shared" si="6"/>
        <v>0</v>
      </c>
    </row>
    <row r="24" spans="1:23" ht="24" customHeight="1">
      <c r="A24" s="120">
        <v>16</v>
      </c>
      <c r="B24" s="25" t="s">
        <v>67</v>
      </c>
      <c r="C24" s="41"/>
      <c r="D24" s="206" t="s">
        <v>88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7"/>
      <c r="W24" s="19">
        <f t="shared" si="6"/>
        <v>0</v>
      </c>
    </row>
    <row r="25" spans="1:23" ht="36" customHeight="1">
      <c r="A25" s="120">
        <v>17</v>
      </c>
      <c r="B25" s="25" t="s">
        <v>68</v>
      </c>
      <c r="C25" s="41">
        <v>-94.8</v>
      </c>
      <c r="D25" s="41">
        <f t="shared" si="4"/>
        <v>699.9000000000001</v>
      </c>
      <c r="E25" s="41">
        <f t="shared" si="7"/>
        <v>869.8</v>
      </c>
      <c r="F25" s="92">
        <f t="shared" si="0"/>
        <v>124.27489641377338</v>
      </c>
      <c r="G25" s="18">
        <v>1164.4</v>
      </c>
      <c r="H25" s="18">
        <v>1370</v>
      </c>
      <c r="I25" s="18">
        <f t="shared" si="1"/>
        <v>117.65716248711782</v>
      </c>
      <c r="J25" s="18">
        <v>128.3</v>
      </c>
      <c r="K25" s="18">
        <v>116.5</v>
      </c>
      <c r="L25" s="18">
        <f t="shared" si="2"/>
        <v>90.80280592361652</v>
      </c>
      <c r="M25" s="18">
        <v>189.9</v>
      </c>
      <c r="N25" s="18">
        <v>256.6</v>
      </c>
      <c r="O25" s="18">
        <f>N25/M25*100</f>
        <v>135.12374934175884</v>
      </c>
      <c r="P25" s="18">
        <v>381.7</v>
      </c>
      <c r="Q25" s="18">
        <v>496.7</v>
      </c>
      <c r="R25" s="18">
        <f>Q25/P25*100</f>
        <v>130.12837306785434</v>
      </c>
      <c r="S25" s="17">
        <f>D25-E25</f>
        <v>-169.89999999999986</v>
      </c>
      <c r="T25" s="68">
        <f>G25-H25</f>
        <v>-205.5999999999999</v>
      </c>
      <c r="U25" s="16">
        <f>C25+G25-H25</f>
        <v>-300.39999999999986</v>
      </c>
      <c r="W25" s="19">
        <f t="shared" si="6"/>
        <v>-205.5999999999999</v>
      </c>
    </row>
    <row r="26" spans="1:23" ht="24" customHeight="1">
      <c r="A26" s="120">
        <v>18</v>
      </c>
      <c r="B26" s="23" t="s">
        <v>69</v>
      </c>
      <c r="C26" s="41">
        <v>0</v>
      </c>
      <c r="D26" s="41">
        <f t="shared" si="4"/>
        <v>283.9</v>
      </c>
      <c r="E26" s="41">
        <f t="shared" si="7"/>
        <v>283.9</v>
      </c>
      <c r="F26" s="92">
        <f t="shared" si="0"/>
        <v>100</v>
      </c>
      <c r="G26" s="18">
        <v>708.8</v>
      </c>
      <c r="H26" s="18">
        <v>470.6</v>
      </c>
      <c r="I26" s="18">
        <f t="shared" si="1"/>
        <v>66.39390519187359</v>
      </c>
      <c r="J26" s="18">
        <v>50.9</v>
      </c>
      <c r="K26" s="18">
        <v>50.9</v>
      </c>
      <c r="L26" s="18">
        <f t="shared" si="2"/>
        <v>100</v>
      </c>
      <c r="M26" s="18">
        <v>117.9</v>
      </c>
      <c r="N26" s="18">
        <v>108</v>
      </c>
      <c r="O26" s="18">
        <f>N26/M26*100</f>
        <v>91.6030534351145</v>
      </c>
      <c r="P26" s="18">
        <v>115.1</v>
      </c>
      <c r="Q26" s="18">
        <v>125</v>
      </c>
      <c r="R26" s="18">
        <f>Q26/P26*100</f>
        <v>108.60121633362294</v>
      </c>
      <c r="S26" s="17">
        <f>D26-E26</f>
        <v>0</v>
      </c>
      <c r="T26" s="68">
        <f>G26-H26</f>
        <v>238.19999999999993</v>
      </c>
      <c r="U26" s="16">
        <f>C26+G26-H26</f>
        <v>238.19999999999993</v>
      </c>
      <c r="W26" s="19">
        <f t="shared" si="6"/>
        <v>238.19999999999993</v>
      </c>
    </row>
    <row r="27" spans="1:23" s="27" customFormat="1" ht="24" customHeight="1">
      <c r="A27" s="120">
        <v>19</v>
      </c>
      <c r="B27" s="25" t="s">
        <v>70</v>
      </c>
      <c r="C27" s="34">
        <v>0</v>
      </c>
      <c r="D27" s="34">
        <f aca="true" t="shared" si="8" ref="D27:E29">J27</f>
        <v>0</v>
      </c>
      <c r="E27" s="34">
        <f t="shared" si="8"/>
        <v>0</v>
      </c>
      <c r="F27" s="26">
        <v>0</v>
      </c>
      <c r="G27" s="26"/>
      <c r="H27" s="26"/>
      <c r="I27" s="26" t="e">
        <f t="shared" si="1"/>
        <v>#DIV/0!</v>
      </c>
      <c r="J27" s="26"/>
      <c r="K27" s="26"/>
      <c r="L27" s="26" t="e">
        <f t="shared" si="2"/>
        <v>#DIV/0!</v>
      </c>
      <c r="M27" s="26"/>
      <c r="N27" s="26"/>
      <c r="O27" s="26"/>
      <c r="P27" s="26"/>
      <c r="Q27" s="26"/>
      <c r="R27" s="26"/>
      <c r="S27" s="35" t="e">
        <f>#REF!</f>
        <v>#REF!</v>
      </c>
      <c r="T27" s="68">
        <f>G27-H27</f>
        <v>0</v>
      </c>
      <c r="U27" s="80">
        <f>C27+G27-H27</f>
        <v>0</v>
      </c>
      <c r="W27" s="19">
        <f t="shared" si="6"/>
        <v>0</v>
      </c>
    </row>
    <row r="28" spans="1:23" ht="39" customHeight="1">
      <c r="A28" s="120">
        <v>20</v>
      </c>
      <c r="B28" s="25" t="s">
        <v>105</v>
      </c>
      <c r="C28" s="34">
        <v>0</v>
      </c>
      <c r="D28" s="34">
        <f t="shared" si="8"/>
        <v>0</v>
      </c>
      <c r="E28" s="34">
        <f t="shared" si="8"/>
        <v>0</v>
      </c>
      <c r="F28" s="26">
        <v>0</v>
      </c>
      <c r="G28" s="18"/>
      <c r="H28" s="18"/>
      <c r="I28" s="18"/>
      <c r="J28" s="26"/>
      <c r="K28" s="26"/>
      <c r="L28" s="26" t="e">
        <f t="shared" si="2"/>
        <v>#DIV/0!</v>
      </c>
      <c r="M28" s="26"/>
      <c r="N28" s="26"/>
      <c r="O28" s="26"/>
      <c r="P28" s="26"/>
      <c r="Q28" s="26"/>
      <c r="R28" s="26"/>
      <c r="S28" s="17"/>
      <c r="T28" s="68">
        <f>G28-H28</f>
        <v>0</v>
      </c>
      <c r="U28" s="42"/>
      <c r="W28" s="19">
        <f t="shared" si="6"/>
        <v>0</v>
      </c>
    </row>
    <row r="29" spans="1:23" ht="39" customHeight="1">
      <c r="A29" s="120">
        <v>21</v>
      </c>
      <c r="B29" s="23" t="s">
        <v>71</v>
      </c>
      <c r="C29" s="34">
        <v>0</v>
      </c>
      <c r="D29" s="34">
        <f t="shared" si="8"/>
        <v>0</v>
      </c>
      <c r="E29" s="34">
        <f t="shared" si="8"/>
        <v>0</v>
      </c>
      <c r="F29" s="26">
        <v>0</v>
      </c>
      <c r="G29" s="26"/>
      <c r="H29" s="26"/>
      <c r="I29" s="26" t="e">
        <f t="shared" si="1"/>
        <v>#DIV/0!</v>
      </c>
      <c r="J29" s="26"/>
      <c r="K29" s="26"/>
      <c r="L29" s="26" t="e">
        <f t="shared" si="2"/>
        <v>#DIV/0!</v>
      </c>
      <c r="M29" s="26"/>
      <c r="N29" s="26"/>
      <c r="O29" s="26"/>
      <c r="P29" s="26"/>
      <c r="Q29" s="26"/>
      <c r="R29" s="26"/>
      <c r="S29" s="35"/>
      <c r="T29" s="68">
        <f>G29-H29</f>
        <v>0</v>
      </c>
      <c r="U29" s="80">
        <f>C29+G29-H29</f>
        <v>0</v>
      </c>
      <c r="W29" s="19">
        <f t="shared" si="6"/>
        <v>0</v>
      </c>
    </row>
    <row r="30" spans="1:23" ht="24" customHeight="1">
      <c r="A30" s="120">
        <v>22</v>
      </c>
      <c r="B30" s="23" t="s">
        <v>72</v>
      </c>
      <c r="C30" s="71"/>
      <c r="D30" s="200" t="s">
        <v>88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1"/>
      <c r="W30" s="19">
        <f t="shared" si="6"/>
        <v>0</v>
      </c>
    </row>
    <row r="31" spans="1:23" ht="24" customHeight="1">
      <c r="A31" s="120">
        <v>23</v>
      </c>
      <c r="B31" s="25" t="s">
        <v>73</v>
      </c>
      <c r="C31" s="83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3"/>
      <c r="W31" s="19">
        <f t="shared" si="6"/>
        <v>0</v>
      </c>
    </row>
    <row r="32" spans="1:23" ht="24" customHeight="1">
      <c r="A32" s="120">
        <v>24</v>
      </c>
      <c r="B32" s="25" t="s">
        <v>74</v>
      </c>
      <c r="C32" s="8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5"/>
      <c r="W32" s="19">
        <f t="shared" si="6"/>
        <v>0</v>
      </c>
    </row>
    <row r="33" spans="1:23" ht="24" customHeight="1">
      <c r="A33" s="120">
        <v>25</v>
      </c>
      <c r="B33" s="25" t="s">
        <v>97</v>
      </c>
      <c r="C33" s="41"/>
      <c r="D33" s="24"/>
      <c r="E33" s="24"/>
      <c r="F33" s="18"/>
      <c r="G33" s="26"/>
      <c r="H33" s="26"/>
      <c r="I33" s="26" t="e">
        <f t="shared" si="1"/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17"/>
      <c r="T33" s="86"/>
      <c r="U33" s="16"/>
      <c r="W33" s="19">
        <f t="shared" si="6"/>
        <v>0</v>
      </c>
    </row>
    <row r="34" spans="1:23" ht="24" customHeight="1">
      <c r="A34" s="120"/>
      <c r="B34" s="25" t="s">
        <v>76</v>
      </c>
      <c r="C34" s="41">
        <v>-164.6</v>
      </c>
      <c r="D34" s="41">
        <f aca="true" t="shared" si="9" ref="D34:E40">J34+M34+P34</f>
        <v>704.0999999999999</v>
      </c>
      <c r="E34" s="41">
        <f t="shared" si="9"/>
        <v>727.3</v>
      </c>
      <c r="F34" s="92">
        <f>E34/D34*100</f>
        <v>103.29498650759837</v>
      </c>
      <c r="G34" s="18">
        <v>1988.6</v>
      </c>
      <c r="H34" s="18">
        <v>1583.9</v>
      </c>
      <c r="I34" s="18">
        <f t="shared" si="1"/>
        <v>79.64899929598714</v>
      </c>
      <c r="J34" s="18">
        <v>166.7</v>
      </c>
      <c r="K34" s="18">
        <v>170</v>
      </c>
      <c r="L34" s="18">
        <f t="shared" si="2"/>
        <v>101.97960407918416</v>
      </c>
      <c r="M34" s="18">
        <v>195.6</v>
      </c>
      <c r="N34" s="18">
        <v>200</v>
      </c>
      <c r="O34" s="18">
        <f aca="true" t="shared" si="10" ref="O34:O40">N34/M34*100</f>
        <v>102.24948875255623</v>
      </c>
      <c r="P34" s="18">
        <v>341.8</v>
      </c>
      <c r="Q34" s="18">
        <v>357.3</v>
      </c>
      <c r="R34" s="18">
        <f aca="true" t="shared" si="11" ref="R34:R40">Q34/P34*100</f>
        <v>104.53481568168519</v>
      </c>
      <c r="S34" s="17">
        <f aca="true" t="shared" si="12" ref="S34:S40">D34-E34</f>
        <v>-23.200000000000045</v>
      </c>
      <c r="T34" s="68">
        <f aca="true" t="shared" si="13" ref="T34:T40">G34-H34</f>
        <v>404.6999999999998</v>
      </c>
      <c r="U34" s="16">
        <f aca="true" t="shared" si="14" ref="U34:U43">C34+G34-H34</f>
        <v>240.0999999999999</v>
      </c>
      <c r="W34" s="19">
        <f t="shared" si="6"/>
        <v>404.6999999999998</v>
      </c>
    </row>
    <row r="35" spans="1:23" ht="24.75" customHeight="1">
      <c r="A35" s="121"/>
      <c r="B35" s="25" t="s">
        <v>77</v>
      </c>
      <c r="C35" s="41">
        <v>0</v>
      </c>
      <c r="D35" s="41">
        <f t="shared" si="9"/>
        <v>1480.6</v>
      </c>
      <c r="E35" s="41">
        <f t="shared" si="9"/>
        <v>2030.1</v>
      </c>
      <c r="F35" s="92">
        <f>E35/D35*100</f>
        <v>137.1133324327975</v>
      </c>
      <c r="G35" s="18">
        <v>4126.9</v>
      </c>
      <c r="H35" s="18">
        <v>5121.4</v>
      </c>
      <c r="I35" s="18">
        <f t="shared" si="1"/>
        <v>124.09799122828274</v>
      </c>
      <c r="J35" s="18">
        <v>331.6</v>
      </c>
      <c r="K35" s="18">
        <v>331.6</v>
      </c>
      <c r="L35" s="18">
        <f t="shared" si="2"/>
        <v>100</v>
      </c>
      <c r="M35" s="18">
        <v>556.2</v>
      </c>
      <c r="N35" s="18">
        <f>331.6+217.9</f>
        <v>549.5</v>
      </c>
      <c r="O35" s="18">
        <f t="shared" si="10"/>
        <v>98.79539733908665</v>
      </c>
      <c r="P35" s="18">
        <v>592.8</v>
      </c>
      <c r="Q35" s="18">
        <v>1149</v>
      </c>
      <c r="R35" s="18">
        <f t="shared" si="11"/>
        <v>193.8259109311741</v>
      </c>
      <c r="S35" s="17">
        <f t="shared" si="12"/>
        <v>-549.5</v>
      </c>
      <c r="T35" s="68">
        <f t="shared" si="13"/>
        <v>-994.5</v>
      </c>
      <c r="U35" s="16">
        <f t="shared" si="14"/>
        <v>-994.5</v>
      </c>
      <c r="W35" s="19">
        <f t="shared" si="6"/>
        <v>-994.5</v>
      </c>
    </row>
    <row r="36" spans="1:23" ht="37.5" customHeight="1">
      <c r="A36" s="120">
        <v>26</v>
      </c>
      <c r="B36" s="25" t="s">
        <v>106</v>
      </c>
      <c r="C36" s="41">
        <v>0</v>
      </c>
      <c r="D36" s="41">
        <f t="shared" si="9"/>
        <v>426.4</v>
      </c>
      <c r="E36" s="41">
        <f t="shared" si="9"/>
        <v>426.4</v>
      </c>
      <c r="F36" s="92">
        <f aca="true" t="shared" si="15" ref="F36:F48">E36/D36*100</f>
        <v>100</v>
      </c>
      <c r="G36" s="18">
        <v>1009.4</v>
      </c>
      <c r="H36" s="18">
        <v>1066.3</v>
      </c>
      <c r="I36" s="18">
        <f t="shared" si="1"/>
        <v>105.63701208638795</v>
      </c>
      <c r="J36" s="18">
        <v>64.4</v>
      </c>
      <c r="K36" s="18">
        <v>64.5</v>
      </c>
      <c r="L36" s="18">
        <f t="shared" si="2"/>
        <v>100.15527950310559</v>
      </c>
      <c r="M36" s="18">
        <v>166.7</v>
      </c>
      <c r="N36" s="18">
        <v>166.6</v>
      </c>
      <c r="O36" s="18">
        <f t="shared" si="10"/>
        <v>99.9400119976005</v>
      </c>
      <c r="P36" s="18">
        <v>195.3</v>
      </c>
      <c r="Q36" s="18">
        <v>195.3</v>
      </c>
      <c r="R36" s="18">
        <f t="shared" si="11"/>
        <v>100</v>
      </c>
      <c r="S36" s="17">
        <f t="shared" si="12"/>
        <v>0</v>
      </c>
      <c r="T36" s="68">
        <f t="shared" si="13"/>
        <v>-56.89999999999998</v>
      </c>
      <c r="U36" s="16">
        <f t="shared" si="14"/>
        <v>-56.89999999999998</v>
      </c>
      <c r="W36" s="19">
        <f t="shared" si="6"/>
        <v>-56.89999999999998</v>
      </c>
    </row>
    <row r="37" spans="1:23" ht="24" customHeight="1">
      <c r="A37" s="120">
        <v>27</v>
      </c>
      <c r="B37" s="23" t="s">
        <v>78</v>
      </c>
      <c r="C37" s="41">
        <v>-85.2</v>
      </c>
      <c r="D37" s="41">
        <f t="shared" si="9"/>
        <v>649.3</v>
      </c>
      <c r="E37" s="41">
        <f t="shared" si="9"/>
        <v>682.6</v>
      </c>
      <c r="F37" s="92">
        <f t="shared" si="15"/>
        <v>105.12860003080242</v>
      </c>
      <c r="G37" s="18">
        <v>1323.8</v>
      </c>
      <c r="H37" s="18">
        <v>1334.7</v>
      </c>
      <c r="I37" s="18">
        <f t="shared" si="1"/>
        <v>100.82338721861308</v>
      </c>
      <c r="J37" s="18">
        <v>142.4</v>
      </c>
      <c r="K37" s="18">
        <f>69</f>
        <v>69</v>
      </c>
      <c r="L37" s="18">
        <f t="shared" si="2"/>
        <v>48.45505617977528</v>
      </c>
      <c r="M37" s="18">
        <v>198.1</v>
      </c>
      <c r="N37" s="18">
        <v>218.8</v>
      </c>
      <c r="O37" s="18">
        <f t="shared" si="10"/>
        <v>110.44926804644119</v>
      </c>
      <c r="P37" s="18">
        <v>308.8</v>
      </c>
      <c r="Q37" s="18">
        <v>394.8</v>
      </c>
      <c r="R37" s="18">
        <f t="shared" si="11"/>
        <v>127.84974093264248</v>
      </c>
      <c r="S37" s="17">
        <f t="shared" si="12"/>
        <v>-33.30000000000007</v>
      </c>
      <c r="T37" s="68">
        <f t="shared" si="13"/>
        <v>-10.900000000000091</v>
      </c>
      <c r="U37" s="16">
        <f t="shared" si="14"/>
        <v>-96.10000000000014</v>
      </c>
      <c r="W37" s="19">
        <f t="shared" si="6"/>
        <v>-10.900000000000091</v>
      </c>
    </row>
    <row r="38" spans="1:23" ht="24" customHeight="1">
      <c r="A38" s="120">
        <v>28</v>
      </c>
      <c r="B38" s="25" t="s">
        <v>79</v>
      </c>
      <c r="C38" s="41">
        <f>-300.2-(-319.8)</f>
        <v>19.600000000000023</v>
      </c>
      <c r="D38" s="41">
        <f t="shared" si="9"/>
        <v>1336.3000000000002</v>
      </c>
      <c r="E38" s="41">
        <f t="shared" si="9"/>
        <v>1868.8999999999999</v>
      </c>
      <c r="F38" s="92">
        <f t="shared" si="15"/>
        <v>139.85631968869262</v>
      </c>
      <c r="G38" s="18">
        <f>4118.8-2065.9</f>
        <v>2052.9</v>
      </c>
      <c r="H38" s="18">
        <f>3694.2-1782.1</f>
        <v>1912.1</v>
      </c>
      <c r="I38" s="18">
        <f t="shared" si="1"/>
        <v>93.14140971308879</v>
      </c>
      <c r="J38" s="18">
        <v>314.7</v>
      </c>
      <c r="K38" s="18">
        <f>212.1+102.6</f>
        <v>314.7</v>
      </c>
      <c r="L38" s="18">
        <f t="shared" si="2"/>
        <v>100</v>
      </c>
      <c r="M38" s="18">
        <v>440.5</v>
      </c>
      <c r="N38" s="18">
        <v>607.4</v>
      </c>
      <c r="O38" s="18">
        <f t="shared" si="10"/>
        <v>137.88876276958</v>
      </c>
      <c r="P38" s="18">
        <v>581.1</v>
      </c>
      <c r="Q38" s="18">
        <v>946.8</v>
      </c>
      <c r="R38" s="18">
        <f t="shared" si="11"/>
        <v>162.93236964377903</v>
      </c>
      <c r="S38" s="17">
        <f t="shared" si="12"/>
        <v>-532.5999999999997</v>
      </c>
      <c r="T38" s="68">
        <f t="shared" si="13"/>
        <v>140.80000000000018</v>
      </c>
      <c r="U38" s="16">
        <f t="shared" si="14"/>
        <v>160.4000000000001</v>
      </c>
      <c r="W38" s="19">
        <f t="shared" si="6"/>
        <v>140.80000000000018</v>
      </c>
    </row>
    <row r="39" spans="1:23" ht="24" customHeight="1">
      <c r="A39" s="120">
        <v>29</v>
      </c>
      <c r="B39" s="25" t="s">
        <v>80</v>
      </c>
      <c r="C39" s="41">
        <v>-127.9</v>
      </c>
      <c r="D39" s="41">
        <f t="shared" si="9"/>
        <v>604.1</v>
      </c>
      <c r="E39" s="41">
        <f t="shared" si="9"/>
        <v>592.6</v>
      </c>
      <c r="F39" s="92">
        <f t="shared" si="15"/>
        <v>98.0963416652872</v>
      </c>
      <c r="G39" s="18">
        <v>937</v>
      </c>
      <c r="H39" s="18">
        <v>993.6</v>
      </c>
      <c r="I39" s="18">
        <f t="shared" si="1"/>
        <v>106.04055496264675</v>
      </c>
      <c r="J39" s="18">
        <v>123.9</v>
      </c>
      <c r="K39" s="18">
        <f>103+16.5</f>
        <v>119.5</v>
      </c>
      <c r="L39" s="18">
        <f t="shared" si="2"/>
        <v>96.44874899112187</v>
      </c>
      <c r="M39" s="18">
        <v>148.1</v>
      </c>
      <c r="N39" s="18">
        <v>273</v>
      </c>
      <c r="O39" s="18">
        <f t="shared" si="10"/>
        <v>184.33490884537477</v>
      </c>
      <c r="P39" s="18">
        <v>332.1</v>
      </c>
      <c r="Q39" s="18">
        <v>200.1</v>
      </c>
      <c r="R39" s="18">
        <f t="shared" si="11"/>
        <v>60.252935862691956</v>
      </c>
      <c r="S39" s="17">
        <f t="shared" si="12"/>
        <v>11.5</v>
      </c>
      <c r="T39" s="68">
        <f t="shared" si="13"/>
        <v>-56.60000000000002</v>
      </c>
      <c r="U39" s="16">
        <f t="shared" si="14"/>
        <v>-184.5</v>
      </c>
      <c r="W39" s="19">
        <f t="shared" si="6"/>
        <v>-56.60000000000002</v>
      </c>
    </row>
    <row r="40" spans="1:23" s="27" customFormat="1" ht="37.5" customHeight="1">
      <c r="A40" s="120">
        <v>30</v>
      </c>
      <c r="B40" s="25" t="s">
        <v>107</v>
      </c>
      <c r="C40" s="41">
        <v>-111.5</v>
      </c>
      <c r="D40" s="41">
        <f t="shared" si="9"/>
        <v>798.0999999999999</v>
      </c>
      <c r="E40" s="41">
        <f t="shared" si="9"/>
        <v>868.5</v>
      </c>
      <c r="F40" s="92">
        <f>E40/D40*100</f>
        <v>108.82094975566974</v>
      </c>
      <c r="G40" s="18">
        <v>2104.8</v>
      </c>
      <c r="H40" s="18">
        <v>2109.7</v>
      </c>
      <c r="I40" s="18">
        <f t="shared" si="1"/>
        <v>100.23280121626756</v>
      </c>
      <c r="J40" s="18">
        <v>189.8</v>
      </c>
      <c r="K40" s="18">
        <f>123.4+4.9</f>
        <v>128.3</v>
      </c>
      <c r="L40" s="18">
        <f t="shared" si="2"/>
        <v>67.59747102212856</v>
      </c>
      <c r="M40" s="18">
        <v>249.1</v>
      </c>
      <c r="N40" s="18">
        <v>337.1</v>
      </c>
      <c r="O40" s="18">
        <f t="shared" si="10"/>
        <v>135.3271778402248</v>
      </c>
      <c r="P40" s="18">
        <v>359.2</v>
      </c>
      <c r="Q40" s="18">
        <v>403.1</v>
      </c>
      <c r="R40" s="18">
        <f t="shared" si="11"/>
        <v>112.22160356347439</v>
      </c>
      <c r="S40" s="17">
        <f t="shared" si="12"/>
        <v>-70.40000000000009</v>
      </c>
      <c r="T40" s="68">
        <f t="shared" si="13"/>
        <v>-4.899999999999636</v>
      </c>
      <c r="U40" s="16">
        <f t="shared" si="14"/>
        <v>-116.39999999999964</v>
      </c>
      <c r="W40" s="19">
        <f t="shared" si="6"/>
        <v>-4.899999999999636</v>
      </c>
    </row>
    <row r="41" spans="1:23" ht="24.75" customHeight="1">
      <c r="A41" s="120">
        <v>31</v>
      </c>
      <c r="B41" s="25" t="s">
        <v>81</v>
      </c>
      <c r="C41" s="34">
        <v>0</v>
      </c>
      <c r="D41" s="34">
        <f>J41</f>
        <v>0</v>
      </c>
      <c r="E41" s="34">
        <f>K41</f>
        <v>0</v>
      </c>
      <c r="F41" s="92"/>
      <c r="G41" s="26"/>
      <c r="H41" s="26"/>
      <c r="I41" s="26" t="e">
        <f t="shared" si="1"/>
        <v>#DIV/0!</v>
      </c>
      <c r="J41" s="26"/>
      <c r="K41" s="26"/>
      <c r="L41" s="26" t="e">
        <f t="shared" si="2"/>
        <v>#DIV/0!</v>
      </c>
      <c r="M41" s="26"/>
      <c r="N41" s="26"/>
      <c r="O41" s="26"/>
      <c r="P41" s="26"/>
      <c r="Q41" s="26"/>
      <c r="R41" s="26"/>
      <c r="S41" s="35" t="e">
        <f>#REF!</f>
        <v>#REF!</v>
      </c>
      <c r="T41" s="68"/>
      <c r="U41" s="80">
        <f t="shared" si="14"/>
        <v>0</v>
      </c>
      <c r="W41" s="19">
        <f t="shared" si="6"/>
        <v>0</v>
      </c>
    </row>
    <row r="42" spans="1:23" s="27" customFormat="1" ht="36.75" customHeight="1">
      <c r="A42" s="120">
        <v>32</v>
      </c>
      <c r="B42" s="23" t="s">
        <v>82</v>
      </c>
      <c r="C42" s="34"/>
      <c r="D42" s="34">
        <f>J42</f>
        <v>0</v>
      </c>
      <c r="E42" s="34">
        <f>K42</f>
        <v>0</v>
      </c>
      <c r="F42" s="92"/>
      <c r="G42" s="26"/>
      <c r="H42" s="26"/>
      <c r="I42" s="26" t="e">
        <f t="shared" si="1"/>
        <v>#DIV/0!</v>
      </c>
      <c r="J42" s="26"/>
      <c r="K42" s="26"/>
      <c r="L42" s="26" t="e">
        <f t="shared" si="2"/>
        <v>#DIV/0!</v>
      </c>
      <c r="M42" s="26"/>
      <c r="N42" s="26"/>
      <c r="O42" s="26"/>
      <c r="P42" s="26"/>
      <c r="Q42" s="26"/>
      <c r="R42" s="26"/>
      <c r="S42" s="35" t="e">
        <f>#REF!</f>
        <v>#REF!</v>
      </c>
      <c r="T42" s="68">
        <f>G42-H42</f>
        <v>0</v>
      </c>
      <c r="U42" s="80">
        <f t="shared" si="14"/>
        <v>0</v>
      </c>
      <c r="W42" s="19">
        <f t="shared" si="6"/>
        <v>0</v>
      </c>
    </row>
    <row r="43" spans="1:23" s="27" customFormat="1" ht="19.5" customHeight="1">
      <c r="A43" s="120">
        <v>33</v>
      </c>
      <c r="B43" s="25" t="s">
        <v>83</v>
      </c>
      <c r="C43" s="41">
        <v>-135.6</v>
      </c>
      <c r="D43" s="41">
        <f>J43+M43+P43</f>
        <v>629.5</v>
      </c>
      <c r="E43" s="41">
        <f>K43+N43+Q43</f>
        <v>693.0999999999999</v>
      </c>
      <c r="F43" s="92">
        <f t="shared" si="15"/>
        <v>110.10325655281967</v>
      </c>
      <c r="G43" s="18">
        <v>1385</v>
      </c>
      <c r="H43" s="18">
        <v>1689.6</v>
      </c>
      <c r="I43" s="18">
        <f t="shared" si="1"/>
        <v>121.99277978339349</v>
      </c>
      <c r="J43" s="18">
        <v>154.3</v>
      </c>
      <c r="K43" s="18">
        <v>171.1</v>
      </c>
      <c r="L43" s="18">
        <f t="shared" si="2"/>
        <v>110.88788075178222</v>
      </c>
      <c r="M43" s="18">
        <v>174.8</v>
      </c>
      <c r="N43" s="18">
        <v>235.7</v>
      </c>
      <c r="O43" s="18">
        <f aca="true" t="shared" si="16" ref="O43:O48">N43/M43*100</f>
        <v>134.83981693363842</v>
      </c>
      <c r="P43" s="18">
        <v>300.4</v>
      </c>
      <c r="Q43" s="18">
        <v>286.3</v>
      </c>
      <c r="R43" s="18">
        <f>Q43/P43*100</f>
        <v>95.30625832223703</v>
      </c>
      <c r="S43" s="17">
        <f>D43-E43</f>
        <v>-63.59999999999991</v>
      </c>
      <c r="T43" s="68">
        <f>G43-H43</f>
        <v>-304.5999999999999</v>
      </c>
      <c r="U43" s="16">
        <f t="shared" si="14"/>
        <v>-440.1999999999998</v>
      </c>
      <c r="W43" s="19">
        <f t="shared" si="6"/>
        <v>-304.5999999999999</v>
      </c>
    </row>
    <row r="44" spans="1:23" s="7" customFormat="1" ht="24.75" customHeight="1">
      <c r="A44" s="122">
        <v>34</v>
      </c>
      <c r="B44" s="6" t="s">
        <v>84</v>
      </c>
      <c r="C44" s="42">
        <f>C45+C46+C47</f>
        <v>-2295.1</v>
      </c>
      <c r="D44" s="42">
        <f>D45+D46+D47</f>
        <v>31450.8</v>
      </c>
      <c r="E44" s="42">
        <f>E45+E46+E47</f>
        <v>36291.7</v>
      </c>
      <c r="F44" s="40">
        <f t="shared" si="15"/>
        <v>115.39197731059305</v>
      </c>
      <c r="G44" s="16">
        <f>G45+G46+G47</f>
        <v>87779.8</v>
      </c>
      <c r="H44" s="16">
        <f>H45+H46+H47</f>
        <v>93631.4</v>
      </c>
      <c r="I44" s="17">
        <f t="shared" si="1"/>
        <v>106.66622617048569</v>
      </c>
      <c r="J44" s="16">
        <f>J45+J46+J47</f>
        <v>6728.3</v>
      </c>
      <c r="K44" s="16">
        <f>K45+K46+K47</f>
        <v>6407.9</v>
      </c>
      <c r="L44" s="17">
        <f t="shared" si="2"/>
        <v>95.23802446383188</v>
      </c>
      <c r="M44" s="16">
        <f>M45+M46+M47</f>
        <v>9894.5</v>
      </c>
      <c r="N44" s="16">
        <f>N45+N46+N47</f>
        <v>11474.9</v>
      </c>
      <c r="O44" s="17">
        <f t="shared" si="16"/>
        <v>115.97250998029207</v>
      </c>
      <c r="P44" s="16">
        <f>P45+P46+P47</f>
        <v>14828</v>
      </c>
      <c r="Q44" s="16">
        <f>Q45+Q46+Q47</f>
        <v>18408.9</v>
      </c>
      <c r="R44" s="17">
        <f>Q44/P44*100</f>
        <v>124.14958187213381</v>
      </c>
      <c r="S44" s="59">
        <f>SUMIF(S45:S47,"&gt;0",S45:S47)</f>
        <v>0</v>
      </c>
      <c r="T44" s="59">
        <f>SUMIF(T45:T47,"&gt;0",T45:T47)</f>
        <v>7.400000000000546</v>
      </c>
      <c r="U44" s="59">
        <f>SUMIF(U45:U47,"&gt;0",U45:U47)</f>
        <v>0</v>
      </c>
      <c r="V44" s="7">
        <v>-159.9</v>
      </c>
      <c r="W44" s="59">
        <v>0</v>
      </c>
    </row>
    <row r="45" spans="1:23" s="7" customFormat="1" ht="24.75" customHeight="1">
      <c r="A45" s="122"/>
      <c r="B45" s="23" t="s">
        <v>85</v>
      </c>
      <c r="C45" s="41">
        <v>-2282</v>
      </c>
      <c r="D45" s="41">
        <f>J45+M45+P45</f>
        <v>29334</v>
      </c>
      <c r="E45" s="41">
        <f>K45+N45+Q45</f>
        <v>34154</v>
      </c>
      <c r="F45" s="92">
        <f>E45/D45*100</f>
        <v>116.43144473989227</v>
      </c>
      <c r="G45" s="18">
        <v>80795</v>
      </c>
      <c r="H45" s="18">
        <f>79839+6815</f>
        <v>86654</v>
      </c>
      <c r="I45" s="18">
        <f t="shared" si="1"/>
        <v>107.25168636673061</v>
      </c>
      <c r="J45" s="18">
        <v>6274</v>
      </c>
      <c r="K45" s="18">
        <v>6274</v>
      </c>
      <c r="L45" s="18">
        <f t="shared" si="2"/>
        <v>100</v>
      </c>
      <c r="M45" s="18">
        <v>9335</v>
      </c>
      <c r="N45" s="18">
        <v>10595</v>
      </c>
      <c r="O45" s="18">
        <f t="shared" si="16"/>
        <v>113.49758971612212</v>
      </c>
      <c r="P45" s="18">
        <v>13725</v>
      </c>
      <c r="Q45" s="18">
        <v>17285</v>
      </c>
      <c r="R45" s="18">
        <f>Q45/P45*100</f>
        <v>125.93806921675774</v>
      </c>
      <c r="S45" s="17">
        <f>D45-E45</f>
        <v>-4820</v>
      </c>
      <c r="T45" s="86">
        <f>G45-H45</f>
        <v>-5859</v>
      </c>
      <c r="U45" s="24">
        <f>C45+G45-H45</f>
        <v>-8141</v>
      </c>
      <c r="W45" s="19">
        <f t="shared" si="6"/>
        <v>-5859</v>
      </c>
    </row>
    <row r="46" spans="1:23" s="28" customFormat="1" ht="24.75" customHeight="1">
      <c r="A46" s="122"/>
      <c r="B46" s="23" t="s">
        <v>86</v>
      </c>
      <c r="C46" s="34">
        <v>0</v>
      </c>
      <c r="D46" s="34">
        <f>J46</f>
        <v>0</v>
      </c>
      <c r="E46" s="34">
        <f>K46</f>
        <v>0</v>
      </c>
      <c r="F46" s="26" t="e">
        <f>E46/D46*100</f>
        <v>#DIV/0!</v>
      </c>
      <c r="G46" s="26"/>
      <c r="H46" s="26"/>
      <c r="I46" s="26" t="e">
        <f t="shared" si="1"/>
        <v>#DIV/0!</v>
      </c>
      <c r="J46" s="26"/>
      <c r="K46" s="26"/>
      <c r="L46" s="26" t="e">
        <f t="shared" si="2"/>
        <v>#DIV/0!</v>
      </c>
      <c r="M46" s="26"/>
      <c r="N46" s="26"/>
      <c r="O46" s="18" t="e">
        <f t="shared" si="16"/>
        <v>#DIV/0!</v>
      </c>
      <c r="P46" s="18"/>
      <c r="Q46" s="18"/>
      <c r="R46" s="18"/>
      <c r="S46" s="35">
        <f>D46-E46</f>
        <v>0</v>
      </c>
      <c r="T46" s="86">
        <f>G46-H46</f>
        <v>0</v>
      </c>
      <c r="U46" s="34">
        <f>C46+G46-H46</f>
        <v>0</v>
      </c>
      <c r="W46" s="19">
        <f t="shared" si="6"/>
        <v>0</v>
      </c>
    </row>
    <row r="47" spans="1:23" s="7" customFormat="1" ht="24.75" customHeight="1">
      <c r="A47" s="122"/>
      <c r="B47" s="23" t="s">
        <v>77</v>
      </c>
      <c r="C47" s="41">
        <v>-13.1</v>
      </c>
      <c r="D47" s="41">
        <f>J47+M47+P47</f>
        <v>2116.8</v>
      </c>
      <c r="E47" s="41">
        <f>K47+N47+Q47</f>
        <v>2137.7</v>
      </c>
      <c r="F47" s="92">
        <f>E47/D47*100</f>
        <v>100.9873393801965</v>
      </c>
      <c r="G47" s="18">
        <v>6984.8</v>
      </c>
      <c r="H47" s="18">
        <v>6977.4</v>
      </c>
      <c r="I47" s="18">
        <f>H47/G47*100</f>
        <v>99.89405566372695</v>
      </c>
      <c r="J47" s="18">
        <v>454.3</v>
      </c>
      <c r="K47" s="18">
        <f>71.6+62.3</f>
        <v>133.89999999999998</v>
      </c>
      <c r="L47" s="18">
        <f t="shared" si="2"/>
        <v>29.473915914593874</v>
      </c>
      <c r="M47" s="18">
        <v>559.5</v>
      </c>
      <c r="N47" s="18">
        <f>761.5+118.4</f>
        <v>879.9</v>
      </c>
      <c r="O47" s="18">
        <f t="shared" si="16"/>
        <v>157.26541554959786</v>
      </c>
      <c r="P47" s="18">
        <v>1103</v>
      </c>
      <c r="Q47" s="18">
        <v>1123.9</v>
      </c>
      <c r="R47" s="18">
        <f>Q47/P47*100</f>
        <v>101.89483227561198</v>
      </c>
      <c r="S47" s="17">
        <f>D47-E47</f>
        <v>-20.899999999999636</v>
      </c>
      <c r="T47" s="86">
        <f>G47-H47</f>
        <v>7.400000000000546</v>
      </c>
      <c r="U47" s="24">
        <f>C47+G47-H47</f>
        <v>-5.699999999999818</v>
      </c>
      <c r="V47" s="7">
        <v>-159.9</v>
      </c>
      <c r="W47" s="19">
        <v>0</v>
      </c>
    </row>
    <row r="48" spans="1:23" s="7" customFormat="1" ht="24.75" customHeight="1">
      <c r="A48" s="122"/>
      <c r="B48" s="6" t="s">
        <v>87</v>
      </c>
      <c r="C48" s="42">
        <f>C8+C44</f>
        <v>-3749</v>
      </c>
      <c r="D48" s="42">
        <f>D44+D8</f>
        <v>42655.7</v>
      </c>
      <c r="E48" s="42">
        <f>E44+E8</f>
        <v>49383.899999999994</v>
      </c>
      <c r="F48" s="40">
        <f t="shared" si="15"/>
        <v>115.77327297406912</v>
      </c>
      <c r="G48" s="16">
        <f>G8+G44</f>
        <v>111214.9</v>
      </c>
      <c r="H48" s="16">
        <f>H8+H44</f>
        <v>117716.9</v>
      </c>
      <c r="I48" s="17">
        <f>H48/G48*100</f>
        <v>105.846338934801</v>
      </c>
      <c r="J48" s="16">
        <f>J8+J44</f>
        <v>9082.800000000001</v>
      </c>
      <c r="K48" s="16">
        <f>K8+K44</f>
        <v>8743.699999999999</v>
      </c>
      <c r="L48" s="17">
        <f>K48/J48*100</f>
        <v>96.26656978024396</v>
      </c>
      <c r="M48" s="16">
        <f>M8+M44</f>
        <v>13448.6</v>
      </c>
      <c r="N48" s="16">
        <f>N8+N44</f>
        <v>15733.3</v>
      </c>
      <c r="O48" s="17">
        <f t="shared" si="16"/>
        <v>116.98838540814656</v>
      </c>
      <c r="P48" s="16">
        <f>P8+P44</f>
        <v>20124.3</v>
      </c>
      <c r="Q48" s="16">
        <f>Q8+Q44</f>
        <v>24856.200000000004</v>
      </c>
      <c r="R48" s="17">
        <f>Q48/P48*100</f>
        <v>123.5133644400054</v>
      </c>
      <c r="S48" s="59">
        <f>S44+S8</f>
        <v>11.5</v>
      </c>
      <c r="T48" s="108">
        <f>T44+T8</f>
        <v>1231.0000000000005</v>
      </c>
      <c r="U48" s="59">
        <f>U44+U8</f>
        <v>638.6999999999999</v>
      </c>
      <c r="V48" s="108">
        <f>V44+V8</f>
        <v>-2033.8999999999996</v>
      </c>
      <c r="W48" s="108">
        <f>W44+W8</f>
        <v>-2742.999999999999</v>
      </c>
    </row>
    <row r="49" spans="1:23" s="7" customFormat="1" ht="24.75" customHeight="1">
      <c r="A49" s="100"/>
      <c r="B49" s="56"/>
      <c r="C49" s="57"/>
      <c r="D49" s="30"/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  <c r="W49" s="111">
        <f>W48+'місц.-район.бюджет'!W48</f>
        <v>-3791.7999999999997</v>
      </c>
    </row>
    <row r="50" spans="1:23" s="7" customFormat="1" ht="18.75" customHeight="1" hidden="1">
      <c r="A50" s="122"/>
      <c r="B50" s="7" t="s">
        <v>92</v>
      </c>
      <c r="C50" s="57"/>
      <c r="D50" s="30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  <c r="W50" s="111">
        <f>W44+'місц.-район.бюджет'!W44</f>
        <v>-9</v>
      </c>
    </row>
    <row r="51" spans="1:21" s="7" customFormat="1" ht="15.75" customHeight="1" hidden="1">
      <c r="A51" s="100"/>
      <c r="C51" s="57"/>
      <c r="D51" s="30"/>
      <c r="E51" s="61"/>
      <c r="F51" s="58">
        <f>G48-H48</f>
        <v>-6502</v>
      </c>
      <c r="G51" s="58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8.75" customHeight="1" hidden="1">
      <c r="A52" s="122"/>
      <c r="B52" s="7" t="s">
        <v>93</v>
      </c>
      <c r="C52" s="57"/>
      <c r="D52" s="30"/>
      <c r="E52" s="61"/>
      <c r="F52" s="58"/>
      <c r="G52" s="58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24.75" customHeight="1">
      <c r="C53" s="48"/>
      <c r="D53" s="12"/>
      <c r="E53" s="62">
        <f>F51+'місц.-район.бюджет'!F54</f>
        <v>-6398.8562106617865</v>
      </c>
      <c r="F53" s="58"/>
      <c r="G53" s="62">
        <f>G44-H44</f>
        <v>-5851.599999999991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50" customFormat="1" ht="43.5" customHeight="1">
      <c r="A54" s="142"/>
      <c r="B54" s="231" t="s">
        <v>119</v>
      </c>
      <c r="C54" s="231"/>
      <c r="D54" s="231"/>
      <c r="E54" s="231"/>
      <c r="F54" s="231"/>
      <c r="G54" s="231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6"/>
      <c r="U54" s="147" t="s">
        <v>118</v>
      </c>
      <c r="V54" s="148"/>
      <c r="W54" s="149"/>
    </row>
    <row r="55" spans="2:21" ht="42" customHeight="1" hidden="1">
      <c r="B55" s="246" t="s">
        <v>41</v>
      </c>
      <c r="C55" s="246"/>
      <c r="D55" s="246"/>
      <c r="E55" s="246"/>
      <c r="F55" s="24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181" t="s">
        <v>116</v>
      </c>
      <c r="B56" s="181"/>
      <c r="C56" s="181"/>
      <c r="D56" s="181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111</v>
      </c>
      <c r="V56" s="9"/>
      <c r="W56" s="9"/>
      <c r="X56" s="9"/>
      <c r="Y56" s="9"/>
      <c r="Z56" s="9"/>
      <c r="AA56" s="64"/>
      <c r="AB56" s="76" t="s">
        <v>111</v>
      </c>
    </row>
    <row r="57" spans="3:21" ht="45" customHeight="1">
      <c r="C57" s="4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90"/>
      <c r="U57" s="29"/>
    </row>
    <row r="58" spans="2:21" ht="18.75">
      <c r="B58" s="1" t="s">
        <v>43</v>
      </c>
      <c r="C58" s="45">
        <v>0</v>
      </c>
      <c r="D58" s="33">
        <v>0</v>
      </c>
      <c r="E58" s="33">
        <v>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7">
        <f>D58-E58</f>
        <v>0</v>
      </c>
      <c r="T58" s="86"/>
      <c r="U58" s="16">
        <f>C58+G58-H58</f>
        <v>0</v>
      </c>
    </row>
    <row r="59" spans="2:21" ht="18.75">
      <c r="B59" s="1" t="s">
        <v>44</v>
      </c>
      <c r="C59" s="43">
        <v>-3.7</v>
      </c>
      <c r="D59" s="9">
        <v>64.7</v>
      </c>
      <c r="E59" s="9">
        <v>0</v>
      </c>
      <c r="F59" s="9"/>
      <c r="G59" s="9">
        <v>552.6</v>
      </c>
      <c r="H59" s="9">
        <v>564.7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17">
        <f>D59-E59</f>
        <v>64.7</v>
      </c>
      <c r="T59" s="90"/>
      <c r="U59" s="16">
        <f>C59+G59-H59</f>
        <v>-15.800000000000068</v>
      </c>
    </row>
    <row r="60" spans="3:21" ht="24.75" customHeight="1">
      <c r="C60" s="43"/>
      <c r="D60" s="9">
        <f>SUM(D58:D59)</f>
        <v>64.7</v>
      </c>
      <c r="E60" s="9">
        <f>SUM(E58:E59)</f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24.75" customHeight="1">
      <c r="C61" s="43"/>
      <c r="D61" s="9">
        <f>D60/D36*100</f>
        <v>15.173545966228893</v>
      </c>
      <c r="E61" s="9">
        <f>E60/E36*100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45</v>
      </c>
      <c r="C62" s="43">
        <f>C10+C18+C21+C27+C37+C39+C41</f>
        <v>-221.60000000000002</v>
      </c>
      <c r="D62" s="9">
        <f>D10+D18+D21+D27+D37+D39+D41</f>
        <v>1886</v>
      </c>
      <c r="E62" s="9">
        <f>E10+E18+E21+E27+E37+E39+E41</f>
        <v>1950.6999999999998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-345.3000000000001</v>
      </c>
    </row>
    <row r="63" spans="2:21" ht="18.75">
      <c r="B63" s="1" t="s">
        <v>46</v>
      </c>
      <c r="C63" s="43">
        <f>C12+C14+C15+C17+C19+C20+C26</f>
        <v>-225.8</v>
      </c>
      <c r="D63" s="9">
        <f>D12+D14+D15+D17+D19+D20+D26</f>
        <v>1494.2999999999997</v>
      </c>
      <c r="E63" s="9">
        <f>E12+E14+E15+E17+E19+E20+E26</f>
        <v>1494.3000000000002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168.4999999999999</v>
      </c>
    </row>
    <row r="64" ht="24.75" customHeight="1">
      <c r="T64" s="90"/>
    </row>
    <row r="65" ht="24.75" customHeight="1">
      <c r="T65" s="90"/>
    </row>
    <row r="66" ht="24.75" customHeight="1">
      <c r="T66" s="90"/>
    </row>
    <row r="67" ht="24.75" customHeight="1">
      <c r="T67" s="90"/>
    </row>
    <row r="68" ht="24.7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24.75" customHeight="1">
      <c r="T86" s="90"/>
    </row>
    <row r="87" ht="24.75" customHeight="1">
      <c r="T87" s="90"/>
    </row>
    <row r="88" ht="24.75" customHeight="1">
      <c r="T88" s="90"/>
    </row>
    <row r="89" ht="24.75" customHeight="1">
      <c r="T89" s="90"/>
    </row>
    <row r="90" ht="24.75" customHeight="1">
      <c r="T90" s="90"/>
    </row>
    <row r="91" ht="24.75" customHeight="1">
      <c r="T91" s="90"/>
    </row>
    <row r="92" ht="24.75" customHeight="1">
      <c r="T92" s="90"/>
    </row>
    <row r="93" ht="24.75" customHeight="1">
      <c r="T93" s="90"/>
    </row>
    <row r="94" ht="24.75" customHeight="1">
      <c r="T94" s="90"/>
    </row>
    <row r="95" ht="24.75" customHeight="1">
      <c r="T95" s="90"/>
    </row>
    <row r="96" ht="24.75" customHeight="1">
      <c r="T96" s="90"/>
    </row>
    <row r="97" ht="24.75" customHeight="1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8">
    <mergeCell ref="B54:G54"/>
    <mergeCell ref="P5:R5"/>
    <mergeCell ref="G1:U1"/>
    <mergeCell ref="B2:U2"/>
    <mergeCell ref="B3:U3"/>
    <mergeCell ref="B4:F4"/>
    <mergeCell ref="T5:T7"/>
    <mergeCell ref="C5:C6"/>
    <mergeCell ref="A56:D56"/>
    <mergeCell ref="B55:F55"/>
    <mergeCell ref="D5:F5"/>
    <mergeCell ref="D24:U24"/>
    <mergeCell ref="D30:U32"/>
    <mergeCell ref="J5:L5"/>
    <mergeCell ref="G5:I5"/>
    <mergeCell ref="S5:S7"/>
    <mergeCell ref="U5:U7"/>
    <mergeCell ref="M5:O5"/>
  </mergeCells>
  <printOptions horizontalCentered="1"/>
  <pageMargins left="0" right="0" top="0" bottom="0" header="0" footer="0"/>
  <pageSetup fitToWidth="2" horizontalDpi="600" verticalDpi="600" orientation="portrait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105"/>
  <sheetViews>
    <sheetView tabSelected="1" view="pageBreakPreview" zoomScale="80" zoomScaleNormal="75" zoomScaleSheetLayoutView="80" zoomScalePageLayoutView="0" workbookViewId="0" topLeftCell="A1">
      <pane xSplit="2" ySplit="7" topLeftCell="C41" activePane="bottomRight" state="frozen"/>
      <selection pane="topLeft" activeCell="T8" sqref="T8"/>
      <selection pane="topRight" activeCell="T8" sqref="T8"/>
      <selection pane="bottomLeft" activeCell="T8" sqref="T8"/>
      <selection pane="bottomRight" activeCell="H46" sqref="H46"/>
    </sheetView>
  </sheetViews>
  <sheetFormatPr defaultColWidth="7.875" defaultRowHeight="12.75"/>
  <cols>
    <col min="1" max="1" width="6.75390625" style="14" customWidth="1"/>
    <col min="2" max="2" width="66.00390625" style="1" customWidth="1"/>
    <col min="3" max="3" width="16.75390625" style="39" customWidth="1"/>
    <col min="4" max="4" width="14.75390625" style="1" hidden="1" customWidth="1"/>
    <col min="5" max="5" width="14.25390625" style="1" hidden="1" customWidth="1"/>
    <col min="6" max="6" width="12.00390625" style="1" hidden="1" customWidth="1"/>
    <col min="7" max="7" width="19.75390625" style="1" customWidth="1"/>
    <col min="8" max="8" width="19.875" style="1" customWidth="1"/>
    <col min="9" max="9" width="16.875" style="1" customWidth="1"/>
    <col min="10" max="11" width="14.75390625" style="1" hidden="1" customWidth="1"/>
    <col min="12" max="12" width="11.875" style="1" hidden="1" customWidth="1"/>
    <col min="13" max="14" width="14.75390625" style="1" hidden="1" customWidth="1"/>
    <col min="15" max="15" width="11.875" style="1" hidden="1" customWidth="1"/>
    <col min="16" max="17" width="14.75390625" style="1" hidden="1" customWidth="1"/>
    <col min="18" max="18" width="11.875" style="1" hidden="1" customWidth="1"/>
    <col min="19" max="19" width="22.75390625" style="1" hidden="1" customWidth="1"/>
    <col min="20" max="20" width="22.625" style="74" customWidth="1"/>
    <col min="21" max="21" width="22.625" style="1" customWidth="1"/>
    <col min="22" max="22" width="13.375" style="1" customWidth="1"/>
    <col min="23" max="23" width="14.875" style="1" customWidth="1"/>
    <col min="24" max="16384" width="7.875" style="1" customWidth="1"/>
  </cols>
  <sheetData>
    <row r="1" spans="2:21" ht="18.75">
      <c r="B1" s="212" t="s">
        <v>98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2:21" ht="18.75">
      <c r="B2" s="212" t="s">
        <v>122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2:21" ht="18.75">
      <c r="B3" s="32"/>
      <c r="C3" s="5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14"/>
    </row>
    <row r="4" spans="2:21" ht="12.75" customHeight="1">
      <c r="B4" s="213"/>
      <c r="C4" s="213"/>
      <c r="D4" s="213"/>
      <c r="E4" s="213"/>
      <c r="F4" s="213"/>
      <c r="U4" s="74" t="s">
        <v>99</v>
      </c>
    </row>
    <row r="5" spans="1:21" ht="41.25" customHeight="1">
      <c r="A5" s="117"/>
      <c r="B5" s="3"/>
      <c r="C5" s="214" t="s">
        <v>1</v>
      </c>
      <c r="D5" s="237" t="s">
        <v>110</v>
      </c>
      <c r="E5" s="238"/>
      <c r="F5" s="239"/>
      <c r="G5" s="216" t="s">
        <v>121</v>
      </c>
      <c r="H5" s="217"/>
      <c r="I5" s="218"/>
      <c r="J5" s="188" t="s">
        <v>109</v>
      </c>
      <c r="K5" s="189"/>
      <c r="L5" s="190"/>
      <c r="M5" s="188" t="s">
        <v>112</v>
      </c>
      <c r="N5" s="189"/>
      <c r="O5" s="190"/>
      <c r="P5" s="188" t="s">
        <v>113</v>
      </c>
      <c r="Q5" s="189"/>
      <c r="R5" s="190"/>
      <c r="S5" s="197" t="s">
        <v>114</v>
      </c>
      <c r="T5" s="197" t="s">
        <v>123</v>
      </c>
      <c r="U5" s="191" t="s">
        <v>124</v>
      </c>
    </row>
    <row r="6" spans="1:21" ht="18.75">
      <c r="A6" s="4" t="s">
        <v>39</v>
      </c>
      <c r="B6" s="4" t="s">
        <v>50</v>
      </c>
      <c r="C6" s="215"/>
      <c r="D6" s="117" t="s">
        <v>51</v>
      </c>
      <c r="E6" s="4" t="s">
        <v>53</v>
      </c>
      <c r="F6" s="117" t="s">
        <v>0</v>
      </c>
      <c r="G6" s="117" t="s">
        <v>51</v>
      </c>
      <c r="H6" s="4" t="s">
        <v>53</v>
      </c>
      <c r="I6" s="117" t="s">
        <v>0</v>
      </c>
      <c r="J6" s="117" t="s">
        <v>51</v>
      </c>
      <c r="K6" s="4" t="s">
        <v>53</v>
      </c>
      <c r="L6" s="117" t="s">
        <v>0</v>
      </c>
      <c r="M6" s="117" t="s">
        <v>51</v>
      </c>
      <c r="N6" s="4" t="s">
        <v>53</v>
      </c>
      <c r="O6" s="117" t="s">
        <v>0</v>
      </c>
      <c r="P6" s="117" t="s">
        <v>51</v>
      </c>
      <c r="Q6" s="4" t="s">
        <v>53</v>
      </c>
      <c r="R6" s="117" t="s">
        <v>0</v>
      </c>
      <c r="S6" s="198"/>
      <c r="T6" s="198"/>
      <c r="U6" s="192"/>
    </row>
    <row r="7" spans="1:21" ht="41.25" customHeight="1">
      <c r="A7" s="4" t="s">
        <v>10</v>
      </c>
      <c r="B7" s="5"/>
      <c r="C7" s="127" t="s">
        <v>117</v>
      </c>
      <c r="D7" s="4" t="s">
        <v>52</v>
      </c>
      <c r="E7" s="4" t="s">
        <v>52</v>
      </c>
      <c r="F7" s="118"/>
      <c r="G7" s="4" t="s">
        <v>52</v>
      </c>
      <c r="H7" s="4" t="s">
        <v>52</v>
      </c>
      <c r="I7" s="118"/>
      <c r="J7" s="4" t="s">
        <v>52</v>
      </c>
      <c r="K7" s="4" t="s">
        <v>52</v>
      </c>
      <c r="L7" s="118"/>
      <c r="M7" s="4" t="s">
        <v>52</v>
      </c>
      <c r="N7" s="4" t="s">
        <v>52</v>
      </c>
      <c r="O7" s="118"/>
      <c r="P7" s="4" t="s">
        <v>52</v>
      </c>
      <c r="Q7" s="4" t="s">
        <v>52</v>
      </c>
      <c r="R7" s="118"/>
      <c r="S7" s="199"/>
      <c r="T7" s="199"/>
      <c r="U7" s="193"/>
    </row>
    <row r="8" spans="1:23" s="7" customFormat="1" ht="36" customHeight="1">
      <c r="A8" s="122"/>
      <c r="B8" s="75" t="s">
        <v>55</v>
      </c>
      <c r="C8" s="40">
        <f>SUM(C9:C43)</f>
        <v>6192.599999999999</v>
      </c>
      <c r="D8" s="40">
        <f>SUM(D9:D43)</f>
        <v>7195.2</v>
      </c>
      <c r="E8" s="40">
        <f>SUM(E9:E43)</f>
        <v>5626.300000000001</v>
      </c>
      <c r="F8" s="40">
        <f aca="true" t="shared" si="0" ref="F8:F21">E8/D8*100</f>
        <v>78.1951856793418</v>
      </c>
      <c r="G8" s="17">
        <f>SUM(G9:G43)</f>
        <v>18958.399999999998</v>
      </c>
      <c r="H8" s="17">
        <f>SUM(H9:H43)</f>
        <v>18836.7</v>
      </c>
      <c r="I8" s="17">
        <f aca="true" t="shared" si="1" ref="I8:I29">H8/G8*100</f>
        <v>99.35806819140858</v>
      </c>
      <c r="J8" s="17">
        <f>SUM(J9:J43)</f>
        <v>1093.6</v>
      </c>
      <c r="K8" s="17">
        <f>SUM(K9:K43)</f>
        <v>616.1</v>
      </c>
      <c r="L8" s="17">
        <f aca="true" t="shared" si="2" ref="L8:L20">K8/J8*100</f>
        <v>56.33686905632773</v>
      </c>
      <c r="M8" s="17">
        <f>SUM(M9:M43)</f>
        <v>1999.7</v>
      </c>
      <c r="N8" s="17">
        <f>SUM(N9:N43)</f>
        <v>2006.2</v>
      </c>
      <c r="O8" s="17">
        <f aca="true" t="shared" si="3" ref="O8:O20">N8/M8*100</f>
        <v>100.32504875731361</v>
      </c>
      <c r="P8" s="17">
        <f>SUM(P9:P43)</f>
        <v>4101.900000000001</v>
      </c>
      <c r="Q8" s="17">
        <f>SUM(Q9:Q43)</f>
        <v>3004.000000000001</v>
      </c>
      <c r="R8" s="17">
        <f>Q8/P8*100</f>
        <v>73.23435481118507</v>
      </c>
      <c r="S8" s="60">
        <f>SUMIF(S9:S43,"&gt;0",S9:S43)</f>
        <v>1691.6000000000001</v>
      </c>
      <c r="T8" s="105">
        <f>SUMIF(T9:T43,"&gt;0",T9:T43)</f>
        <v>3130.4000000000005</v>
      </c>
      <c r="U8" s="60">
        <f>SUMIF(U9:U43,"&gt;0",U9:U43)</f>
        <v>6477.3</v>
      </c>
      <c r="V8" s="105">
        <f>SUMIF(T9:T43,"&lt;0",T9:T43)</f>
        <v>-3009.2999999999997</v>
      </c>
      <c r="W8" s="105">
        <f>SUMIF(U9:U43,"&lt;0",U9:U43)</f>
        <v>-163.0000000000001</v>
      </c>
    </row>
    <row r="9" spans="1:21" ht="38.25" customHeight="1">
      <c r="A9" s="120">
        <v>1</v>
      </c>
      <c r="B9" s="23" t="s">
        <v>56</v>
      </c>
      <c r="C9" s="41">
        <v>616.4</v>
      </c>
      <c r="D9" s="41">
        <f>J9+M9+P9</f>
        <v>802.4</v>
      </c>
      <c r="E9" s="41">
        <f>K9+N9+Q9</f>
        <v>641.5</v>
      </c>
      <c r="F9" s="92">
        <f t="shared" si="0"/>
        <v>79.94765702891327</v>
      </c>
      <c r="G9" s="18">
        <v>2224.4</v>
      </c>
      <c r="H9" s="18">
        <v>2643.1</v>
      </c>
      <c r="I9" s="18">
        <f t="shared" si="1"/>
        <v>118.82305340766048</v>
      </c>
      <c r="J9" s="18">
        <v>163.1</v>
      </c>
      <c r="K9" s="18">
        <v>55.9</v>
      </c>
      <c r="L9" s="18">
        <f t="shared" si="2"/>
        <v>34.2734518700184</v>
      </c>
      <c r="M9" s="18">
        <v>229.9</v>
      </c>
      <c r="N9" s="18">
        <f>174.7+32.9</f>
        <v>207.6</v>
      </c>
      <c r="O9" s="18">
        <f t="shared" si="3"/>
        <v>90.30013049151805</v>
      </c>
      <c r="P9" s="18">
        <v>409.4</v>
      </c>
      <c r="Q9" s="18">
        <v>378</v>
      </c>
      <c r="R9" s="18">
        <f>Q9/P9*100</f>
        <v>92.33023937469468</v>
      </c>
      <c r="S9" s="17">
        <f>D9-E9</f>
        <v>160.89999999999998</v>
      </c>
      <c r="T9" s="68">
        <f>G9-H9</f>
        <v>-418.6999999999998</v>
      </c>
      <c r="U9" s="16">
        <f aca="true" t="shared" si="4" ref="U9:U22">C9+G9-H9</f>
        <v>197.70000000000027</v>
      </c>
    </row>
    <row r="10" spans="1:21" ht="38.25" customHeight="1">
      <c r="A10" s="120">
        <v>2</v>
      </c>
      <c r="B10" s="53" t="s">
        <v>91</v>
      </c>
      <c r="C10" s="41">
        <v>25.1</v>
      </c>
      <c r="D10" s="41">
        <f aca="true" t="shared" si="5" ref="D10:D20">J10+M10+P10</f>
        <v>119.4</v>
      </c>
      <c r="E10" s="41">
        <f>K10+N10+Q10</f>
        <v>82.6</v>
      </c>
      <c r="F10" s="92">
        <f t="shared" si="0"/>
        <v>69.17922948073702</v>
      </c>
      <c r="G10" s="18">
        <v>340.9</v>
      </c>
      <c r="H10" s="18">
        <v>428.1</v>
      </c>
      <c r="I10" s="18">
        <f t="shared" si="1"/>
        <v>125.57934878263421</v>
      </c>
      <c r="J10" s="18">
        <v>10</v>
      </c>
      <c r="K10" s="18">
        <v>11.8</v>
      </c>
      <c r="L10" s="18">
        <f t="shared" si="2"/>
        <v>118.00000000000001</v>
      </c>
      <c r="M10" s="18">
        <v>30.6</v>
      </c>
      <c r="N10" s="18">
        <v>32.2</v>
      </c>
      <c r="O10" s="18">
        <f t="shared" si="3"/>
        <v>105.22875816993465</v>
      </c>
      <c r="P10" s="18">
        <v>78.8</v>
      </c>
      <c r="Q10" s="18">
        <v>38.6</v>
      </c>
      <c r="R10" s="18">
        <f>Q10/P10*100</f>
        <v>48.984771573604064</v>
      </c>
      <c r="S10" s="17">
        <f aca="true" t="shared" si="6" ref="S10:S20">D10-E10</f>
        <v>36.80000000000001</v>
      </c>
      <c r="T10" s="68">
        <f aca="true" t="shared" si="7" ref="T10:T20">G10-H10</f>
        <v>-87.20000000000005</v>
      </c>
      <c r="U10" s="16">
        <f t="shared" si="4"/>
        <v>-62.10000000000002</v>
      </c>
    </row>
    <row r="11" spans="1:21" ht="38.25" customHeight="1">
      <c r="A11" s="120">
        <v>3</v>
      </c>
      <c r="B11" s="25" t="s">
        <v>108</v>
      </c>
      <c r="C11" s="41">
        <v>0</v>
      </c>
      <c r="D11" s="41">
        <f t="shared" si="5"/>
        <v>10.5</v>
      </c>
      <c r="E11" s="41">
        <f aca="true" t="shared" si="8" ref="E11:E20">K11+N11+Q11</f>
        <v>10.5</v>
      </c>
      <c r="F11" s="107">
        <f t="shared" si="0"/>
        <v>100</v>
      </c>
      <c r="G11" s="18">
        <v>0</v>
      </c>
      <c r="H11" s="18">
        <v>0</v>
      </c>
      <c r="I11" s="18">
        <v>0</v>
      </c>
      <c r="J11" s="18">
        <v>2.4</v>
      </c>
      <c r="K11" s="18">
        <v>2.4</v>
      </c>
      <c r="L11" s="18">
        <f t="shared" si="2"/>
        <v>100</v>
      </c>
      <c r="M11" s="18"/>
      <c r="N11" s="18"/>
      <c r="O11" s="18" t="e">
        <f t="shared" si="3"/>
        <v>#DIV/0!</v>
      </c>
      <c r="P11" s="18">
        <v>8.1</v>
      </c>
      <c r="Q11" s="18">
        <v>8.1</v>
      </c>
      <c r="R11" s="18">
        <f>Q11/P11*100</f>
        <v>100</v>
      </c>
      <c r="S11" s="17">
        <f t="shared" si="6"/>
        <v>0</v>
      </c>
      <c r="T11" s="68">
        <f t="shared" si="7"/>
        <v>0</v>
      </c>
      <c r="U11" s="16">
        <f t="shared" si="4"/>
        <v>0</v>
      </c>
    </row>
    <row r="12" spans="1:21" ht="23.25" customHeight="1">
      <c r="A12" s="120">
        <v>4</v>
      </c>
      <c r="B12" s="23" t="s">
        <v>57</v>
      </c>
      <c r="C12" s="41">
        <v>-6.1</v>
      </c>
      <c r="D12" s="41">
        <f t="shared" si="5"/>
        <v>5.2</v>
      </c>
      <c r="E12" s="41">
        <f t="shared" si="8"/>
        <v>1.3</v>
      </c>
      <c r="F12" s="26">
        <f t="shared" si="0"/>
        <v>25</v>
      </c>
      <c r="G12" s="18">
        <v>17.6</v>
      </c>
      <c r="H12" s="18">
        <v>17.5</v>
      </c>
      <c r="I12" s="18">
        <f t="shared" si="1"/>
        <v>99.43181818181817</v>
      </c>
      <c r="J12" s="18">
        <v>0</v>
      </c>
      <c r="K12" s="18">
        <v>0</v>
      </c>
      <c r="L12" s="26" t="e">
        <f t="shared" si="2"/>
        <v>#DIV/0!</v>
      </c>
      <c r="M12" s="26"/>
      <c r="N12" s="26"/>
      <c r="O12" s="18" t="e">
        <f t="shared" si="3"/>
        <v>#DIV/0!</v>
      </c>
      <c r="P12" s="18">
        <v>5.2</v>
      </c>
      <c r="Q12" s="18">
        <v>1.3</v>
      </c>
      <c r="R12" s="18">
        <f>Q12/P12*100</f>
        <v>25</v>
      </c>
      <c r="S12" s="17">
        <f t="shared" si="6"/>
        <v>3.9000000000000004</v>
      </c>
      <c r="T12" s="68">
        <f t="shared" si="7"/>
        <v>0.10000000000000142</v>
      </c>
      <c r="U12" s="16">
        <f t="shared" si="4"/>
        <v>-5.999999999999998</v>
      </c>
    </row>
    <row r="13" spans="1:21" ht="23.25" customHeight="1">
      <c r="A13" s="120">
        <v>5</v>
      </c>
      <c r="B13" s="23" t="s">
        <v>89</v>
      </c>
      <c r="C13" s="41">
        <v>55.1</v>
      </c>
      <c r="D13" s="41">
        <f t="shared" si="5"/>
        <v>152.9</v>
      </c>
      <c r="E13" s="41">
        <f t="shared" si="8"/>
        <v>121.8</v>
      </c>
      <c r="F13" s="92">
        <f t="shared" si="0"/>
        <v>79.65990843688685</v>
      </c>
      <c r="G13" s="18">
        <v>323</v>
      </c>
      <c r="H13" s="18">
        <v>427.9</v>
      </c>
      <c r="I13" s="18">
        <f t="shared" si="1"/>
        <v>132.4767801857585</v>
      </c>
      <c r="J13" s="18">
        <v>26.7</v>
      </c>
      <c r="K13" s="18">
        <v>32.6</v>
      </c>
      <c r="L13" s="18">
        <f t="shared" si="2"/>
        <v>122.09737827715357</v>
      </c>
      <c r="M13" s="18">
        <v>44</v>
      </c>
      <c r="N13" s="18">
        <v>27.4</v>
      </c>
      <c r="O13" s="18">
        <f t="shared" si="3"/>
        <v>62.272727272727266</v>
      </c>
      <c r="P13" s="18">
        <v>82.2</v>
      </c>
      <c r="Q13" s="18">
        <v>61.8</v>
      </c>
      <c r="R13" s="18">
        <f aca="true" t="shared" si="9" ref="R13:R20">Q13/P13*100</f>
        <v>75.18248175182481</v>
      </c>
      <c r="S13" s="17">
        <f t="shared" si="6"/>
        <v>31.10000000000001</v>
      </c>
      <c r="T13" s="68">
        <f t="shared" si="7"/>
        <v>-104.89999999999998</v>
      </c>
      <c r="U13" s="16">
        <f t="shared" si="4"/>
        <v>-49.799999999999955</v>
      </c>
    </row>
    <row r="14" spans="1:21" ht="23.25" customHeight="1">
      <c r="A14" s="120">
        <v>6</v>
      </c>
      <c r="B14" s="23" t="s">
        <v>58</v>
      </c>
      <c r="C14" s="41">
        <v>76.9</v>
      </c>
      <c r="D14" s="41">
        <f t="shared" si="5"/>
        <v>113.4</v>
      </c>
      <c r="E14" s="41">
        <f t="shared" si="8"/>
        <v>86.2</v>
      </c>
      <c r="F14" s="92">
        <f t="shared" si="0"/>
        <v>76.01410934744268</v>
      </c>
      <c r="G14" s="18">
        <v>228.2</v>
      </c>
      <c r="H14" s="18">
        <v>298.3</v>
      </c>
      <c r="I14" s="18">
        <f t="shared" si="1"/>
        <v>130.71866783523228</v>
      </c>
      <c r="J14" s="18">
        <v>20.1</v>
      </c>
      <c r="K14" s="18">
        <v>35.7</v>
      </c>
      <c r="L14" s="18">
        <f t="shared" si="2"/>
        <v>177.61194029850748</v>
      </c>
      <c r="M14" s="18">
        <v>29.8</v>
      </c>
      <c r="N14" s="18">
        <v>20.6</v>
      </c>
      <c r="O14" s="18">
        <f t="shared" si="3"/>
        <v>69.12751677852349</v>
      </c>
      <c r="P14" s="18">
        <v>63.5</v>
      </c>
      <c r="Q14" s="18">
        <v>29.9</v>
      </c>
      <c r="R14" s="18">
        <f t="shared" si="9"/>
        <v>47.08661417322834</v>
      </c>
      <c r="S14" s="17">
        <f t="shared" si="6"/>
        <v>27.200000000000003</v>
      </c>
      <c r="T14" s="68">
        <f t="shared" si="7"/>
        <v>-70.10000000000002</v>
      </c>
      <c r="U14" s="16">
        <f t="shared" si="4"/>
        <v>6.800000000000011</v>
      </c>
    </row>
    <row r="15" spans="1:21" ht="23.25" customHeight="1">
      <c r="A15" s="120">
        <v>7</v>
      </c>
      <c r="B15" s="23" t="s">
        <v>59</v>
      </c>
      <c r="C15" s="41">
        <v>0</v>
      </c>
      <c r="D15" s="41">
        <f t="shared" si="5"/>
        <v>1.9000000000000001</v>
      </c>
      <c r="E15" s="41">
        <f t="shared" si="8"/>
        <v>0.7</v>
      </c>
      <c r="F15" s="107">
        <v>99</v>
      </c>
      <c r="G15" s="18">
        <v>5.2</v>
      </c>
      <c r="H15" s="18">
        <v>1.6</v>
      </c>
      <c r="I15" s="18">
        <f t="shared" si="1"/>
        <v>30.76923076923077</v>
      </c>
      <c r="J15" s="18">
        <v>0.2</v>
      </c>
      <c r="K15" s="18">
        <v>0</v>
      </c>
      <c r="L15" s="18">
        <f t="shared" si="2"/>
        <v>0</v>
      </c>
      <c r="M15" s="18">
        <v>0.4</v>
      </c>
      <c r="N15" s="18">
        <v>0</v>
      </c>
      <c r="O15" s="18">
        <f t="shared" si="3"/>
        <v>0</v>
      </c>
      <c r="P15" s="18">
        <v>1.3</v>
      </c>
      <c r="Q15" s="18">
        <v>0.7</v>
      </c>
      <c r="R15" s="18">
        <f t="shared" si="9"/>
        <v>53.84615384615385</v>
      </c>
      <c r="S15" s="17">
        <f t="shared" si="6"/>
        <v>1.2000000000000002</v>
      </c>
      <c r="T15" s="68">
        <f t="shared" si="7"/>
        <v>3.6</v>
      </c>
      <c r="U15" s="16">
        <f t="shared" si="4"/>
        <v>3.6</v>
      </c>
    </row>
    <row r="16" spans="1:21" ht="23.25" customHeight="1">
      <c r="A16" s="120">
        <v>8</v>
      </c>
      <c r="B16" s="23" t="s">
        <v>60</v>
      </c>
      <c r="C16" s="41">
        <v>199.9</v>
      </c>
      <c r="D16" s="41">
        <f t="shared" si="5"/>
        <v>296</v>
      </c>
      <c r="E16" s="41">
        <f t="shared" si="8"/>
        <v>220</v>
      </c>
      <c r="F16" s="107">
        <f t="shared" si="0"/>
        <v>74.32432432432432</v>
      </c>
      <c r="G16" s="18">
        <v>411.4</v>
      </c>
      <c r="H16" s="18">
        <v>554.1</v>
      </c>
      <c r="I16" s="18">
        <f t="shared" si="1"/>
        <v>134.68643655809433</v>
      </c>
      <c r="J16" s="18">
        <v>65.6</v>
      </c>
      <c r="K16" s="18">
        <v>12.5</v>
      </c>
      <c r="L16" s="18">
        <f t="shared" si="2"/>
        <v>19.054878048780488</v>
      </c>
      <c r="M16" s="18">
        <v>83.6</v>
      </c>
      <c r="N16" s="18">
        <f>57.9+59.1</f>
        <v>117</v>
      </c>
      <c r="O16" s="18">
        <f t="shared" si="3"/>
        <v>139.95215311004785</v>
      </c>
      <c r="P16" s="18">
        <v>146.8</v>
      </c>
      <c r="Q16" s="18">
        <v>90.5</v>
      </c>
      <c r="R16" s="18">
        <f t="shared" si="9"/>
        <v>61.64850136239781</v>
      </c>
      <c r="S16" s="17">
        <f t="shared" si="6"/>
        <v>76</v>
      </c>
      <c r="T16" s="68">
        <f t="shared" si="7"/>
        <v>-142.70000000000005</v>
      </c>
      <c r="U16" s="16">
        <f t="shared" si="4"/>
        <v>57.19999999999993</v>
      </c>
    </row>
    <row r="17" spans="1:21" ht="23.25" customHeight="1">
      <c r="A17" s="120">
        <v>9</v>
      </c>
      <c r="B17" s="23" t="s">
        <v>61</v>
      </c>
      <c r="C17" s="41">
        <v>23.6</v>
      </c>
      <c r="D17" s="41">
        <f t="shared" si="5"/>
        <v>37.8</v>
      </c>
      <c r="E17" s="41">
        <f t="shared" si="8"/>
        <v>7.8999999999999995</v>
      </c>
      <c r="F17" s="92">
        <f t="shared" si="0"/>
        <v>20.8994708994709</v>
      </c>
      <c r="G17" s="18">
        <v>0</v>
      </c>
      <c r="H17" s="18">
        <v>0</v>
      </c>
      <c r="I17" s="126" t="e">
        <f t="shared" si="1"/>
        <v>#DIV/0!</v>
      </c>
      <c r="J17" s="18">
        <v>0.4</v>
      </c>
      <c r="K17" s="18">
        <v>0.8</v>
      </c>
      <c r="L17" s="18">
        <f t="shared" si="2"/>
        <v>200</v>
      </c>
      <c r="M17" s="18">
        <v>7</v>
      </c>
      <c r="N17" s="18">
        <v>0</v>
      </c>
      <c r="O17" s="18">
        <f t="shared" si="3"/>
        <v>0</v>
      </c>
      <c r="P17" s="18">
        <v>30.4</v>
      </c>
      <c r="Q17" s="18">
        <v>7.1</v>
      </c>
      <c r="R17" s="18">
        <f t="shared" si="9"/>
        <v>23.355263157894736</v>
      </c>
      <c r="S17" s="17">
        <f t="shared" si="6"/>
        <v>29.9</v>
      </c>
      <c r="T17" s="68">
        <f t="shared" si="7"/>
        <v>0</v>
      </c>
      <c r="U17" s="16">
        <f t="shared" si="4"/>
        <v>23.6</v>
      </c>
    </row>
    <row r="18" spans="1:21" ht="23.25" customHeight="1">
      <c r="A18" s="120">
        <v>10</v>
      </c>
      <c r="B18" s="25" t="s">
        <v>62</v>
      </c>
      <c r="C18" s="41">
        <v>97</v>
      </c>
      <c r="D18" s="41">
        <f t="shared" si="5"/>
        <v>57.8</v>
      </c>
      <c r="E18" s="41">
        <f t="shared" si="8"/>
        <v>25.9</v>
      </c>
      <c r="F18" s="92">
        <f t="shared" si="0"/>
        <v>44.80968858131488</v>
      </c>
      <c r="G18" s="18">
        <v>138.5</v>
      </c>
      <c r="H18" s="18">
        <v>172.3</v>
      </c>
      <c r="I18" s="18">
        <f t="shared" si="1"/>
        <v>124.40433212996392</v>
      </c>
      <c r="J18" s="18">
        <v>8</v>
      </c>
      <c r="K18" s="18">
        <v>4.5</v>
      </c>
      <c r="L18" s="18">
        <f t="shared" si="2"/>
        <v>56.25</v>
      </c>
      <c r="M18" s="18">
        <v>17.5</v>
      </c>
      <c r="N18" s="18">
        <v>9.7</v>
      </c>
      <c r="O18" s="18">
        <f t="shared" si="3"/>
        <v>55.42857142857143</v>
      </c>
      <c r="P18" s="18">
        <v>32.3</v>
      </c>
      <c r="Q18" s="18">
        <v>11.7</v>
      </c>
      <c r="R18" s="18">
        <f t="shared" si="9"/>
        <v>36.22291021671827</v>
      </c>
      <c r="S18" s="17">
        <f t="shared" si="6"/>
        <v>31.9</v>
      </c>
      <c r="T18" s="68">
        <f t="shared" si="7"/>
        <v>-33.80000000000001</v>
      </c>
      <c r="U18" s="16">
        <f t="shared" si="4"/>
        <v>63.19999999999999</v>
      </c>
    </row>
    <row r="19" spans="1:21" ht="23.25" customHeight="1">
      <c r="A19" s="120">
        <v>11</v>
      </c>
      <c r="B19" s="25" t="s">
        <v>63</v>
      </c>
      <c r="C19" s="41">
        <v>0</v>
      </c>
      <c r="D19" s="41">
        <f t="shared" si="5"/>
        <v>0</v>
      </c>
      <c r="E19" s="41">
        <f t="shared" si="8"/>
        <v>0</v>
      </c>
      <c r="F19" s="26" t="e">
        <f t="shared" si="0"/>
        <v>#DIV/0!</v>
      </c>
      <c r="G19" s="18">
        <v>0</v>
      </c>
      <c r="H19" s="18">
        <v>0</v>
      </c>
      <c r="I19" s="18"/>
      <c r="J19" s="18">
        <v>0</v>
      </c>
      <c r="K19" s="18">
        <v>0</v>
      </c>
      <c r="L19" s="26" t="e">
        <f t="shared" si="2"/>
        <v>#DIV/0!</v>
      </c>
      <c r="M19" s="26"/>
      <c r="N19" s="26"/>
      <c r="O19" s="18" t="e">
        <f t="shared" si="3"/>
        <v>#DIV/0!</v>
      </c>
      <c r="P19" s="18"/>
      <c r="Q19" s="18"/>
      <c r="R19" s="18"/>
      <c r="S19" s="35">
        <f t="shared" si="6"/>
        <v>0</v>
      </c>
      <c r="T19" s="68">
        <f t="shared" si="7"/>
        <v>0</v>
      </c>
      <c r="U19" s="16">
        <f t="shared" si="4"/>
        <v>0</v>
      </c>
    </row>
    <row r="20" spans="1:21" ht="23.25" customHeight="1">
      <c r="A20" s="120">
        <v>12</v>
      </c>
      <c r="B20" s="23" t="s">
        <v>90</v>
      </c>
      <c r="C20" s="41">
        <f>8.8+9.8</f>
        <v>18.6</v>
      </c>
      <c r="D20" s="41">
        <f t="shared" si="5"/>
        <v>35.7</v>
      </c>
      <c r="E20" s="41">
        <f t="shared" si="8"/>
        <v>28.9</v>
      </c>
      <c r="F20" s="92">
        <f t="shared" si="0"/>
        <v>80.95238095238095</v>
      </c>
      <c r="G20" s="18">
        <f>47.4+27.1</f>
        <v>74.5</v>
      </c>
      <c r="H20" s="18">
        <f>56.8+34.3</f>
        <v>91.1</v>
      </c>
      <c r="I20" s="18">
        <f t="shared" si="1"/>
        <v>122.28187919463087</v>
      </c>
      <c r="J20" s="18">
        <v>8</v>
      </c>
      <c r="K20" s="18">
        <v>0</v>
      </c>
      <c r="L20" s="18">
        <f t="shared" si="2"/>
        <v>0</v>
      </c>
      <c r="M20" s="18">
        <v>10.4</v>
      </c>
      <c r="N20" s="18">
        <v>18.4</v>
      </c>
      <c r="O20" s="18">
        <f t="shared" si="3"/>
        <v>176.9230769230769</v>
      </c>
      <c r="P20" s="18">
        <v>17.3</v>
      </c>
      <c r="Q20" s="18">
        <v>10.5</v>
      </c>
      <c r="R20" s="18">
        <f t="shared" si="9"/>
        <v>60.69364161849711</v>
      </c>
      <c r="S20" s="17">
        <f t="shared" si="6"/>
        <v>6.800000000000004</v>
      </c>
      <c r="T20" s="68">
        <f t="shared" si="7"/>
        <v>-16.599999999999994</v>
      </c>
      <c r="U20" s="16">
        <f t="shared" si="4"/>
        <v>2</v>
      </c>
    </row>
    <row r="21" spans="1:21" ht="23.25" customHeight="1">
      <c r="A21" s="120">
        <v>13</v>
      </c>
      <c r="B21" s="25" t="s">
        <v>64</v>
      </c>
      <c r="C21" s="41">
        <v>0</v>
      </c>
      <c r="D21" s="34">
        <f>J21</f>
        <v>0</v>
      </c>
      <c r="E21" s="34">
        <f>K21</f>
        <v>0</v>
      </c>
      <c r="F21" s="26" t="e">
        <f t="shared" si="0"/>
        <v>#DIV/0!</v>
      </c>
      <c r="G21" s="26"/>
      <c r="H21" s="26"/>
      <c r="I21" s="26" t="e">
        <f t="shared" si="1"/>
        <v>#DIV/0!</v>
      </c>
      <c r="J21" s="26"/>
      <c r="K21" s="26"/>
      <c r="L21" s="26"/>
      <c r="M21" s="26"/>
      <c r="N21" s="26"/>
      <c r="O21" s="26"/>
      <c r="P21" s="26"/>
      <c r="Q21" s="26"/>
      <c r="R21" s="26"/>
      <c r="S21" s="17"/>
      <c r="T21" s="68"/>
      <c r="U21" s="80">
        <f t="shared" si="4"/>
        <v>0</v>
      </c>
    </row>
    <row r="22" spans="1:21" ht="23.25" customHeight="1">
      <c r="A22" s="120">
        <v>14</v>
      </c>
      <c r="B22" s="25" t="s">
        <v>65</v>
      </c>
      <c r="C22" s="41"/>
      <c r="D22" s="34">
        <f>J22</f>
        <v>0</v>
      </c>
      <c r="E22" s="34">
        <f>K22</f>
        <v>0</v>
      </c>
      <c r="F22" s="92"/>
      <c r="G22" s="26"/>
      <c r="H22" s="26"/>
      <c r="I22" s="26" t="e">
        <f t="shared" si="1"/>
        <v>#DIV/0!</v>
      </c>
      <c r="J22" s="26"/>
      <c r="K22" s="26"/>
      <c r="L22" s="26"/>
      <c r="M22" s="26"/>
      <c r="N22" s="26"/>
      <c r="O22" s="26"/>
      <c r="P22" s="26"/>
      <c r="Q22" s="26"/>
      <c r="R22" s="26"/>
      <c r="S22" s="17"/>
      <c r="T22" s="68"/>
      <c r="U22" s="80">
        <f t="shared" si="4"/>
        <v>0</v>
      </c>
    </row>
    <row r="23" spans="1:21" ht="37.5" customHeight="1">
      <c r="A23" s="120">
        <v>15</v>
      </c>
      <c r="B23" s="25" t="s">
        <v>66</v>
      </c>
      <c r="C23" s="41">
        <v>8.5</v>
      </c>
      <c r="D23" s="41">
        <f>J23+M23+P23</f>
        <v>0.1</v>
      </c>
      <c r="E23" s="41">
        <f>K23+N23+Q23</f>
        <v>0.1</v>
      </c>
      <c r="F23" s="92">
        <f>E23/D23*100</f>
        <v>100</v>
      </c>
      <c r="G23" s="18">
        <v>20.6</v>
      </c>
      <c r="H23" s="18">
        <v>29.1</v>
      </c>
      <c r="I23" s="18">
        <f t="shared" si="1"/>
        <v>141.2621359223301</v>
      </c>
      <c r="J23" s="26"/>
      <c r="K23" s="26"/>
      <c r="L23" s="26"/>
      <c r="M23" s="26"/>
      <c r="N23" s="26"/>
      <c r="O23" s="26"/>
      <c r="P23" s="18">
        <v>0.1</v>
      </c>
      <c r="Q23" s="18">
        <v>0.1</v>
      </c>
      <c r="R23" s="18">
        <f>Q23/P23*100</f>
        <v>100</v>
      </c>
      <c r="S23" s="17">
        <f>D23-E23</f>
        <v>0</v>
      </c>
      <c r="T23" s="68">
        <f>G23-H23</f>
        <v>-8.5</v>
      </c>
      <c r="U23" s="16">
        <f>C23+G23-H23</f>
        <v>0</v>
      </c>
    </row>
    <row r="24" spans="1:21" ht="23.25" customHeight="1">
      <c r="A24" s="120">
        <v>16</v>
      </c>
      <c r="B24" s="25" t="s">
        <v>67</v>
      </c>
      <c r="C24" s="41"/>
      <c r="D24" s="206" t="s">
        <v>88</v>
      </c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7"/>
    </row>
    <row r="25" spans="1:21" ht="42" customHeight="1">
      <c r="A25" s="120">
        <v>17</v>
      </c>
      <c r="B25" s="25" t="s">
        <v>68</v>
      </c>
      <c r="C25" s="41">
        <v>513</v>
      </c>
      <c r="D25" s="41">
        <f>J25+M25+P25</f>
        <v>580.8</v>
      </c>
      <c r="E25" s="41">
        <f>K25+N25+Q25</f>
        <v>308.2</v>
      </c>
      <c r="F25" s="92">
        <f>E25/D25*100</f>
        <v>53.06473829201103</v>
      </c>
      <c r="G25" s="18">
        <v>1060.6</v>
      </c>
      <c r="H25" s="18">
        <v>1417.1</v>
      </c>
      <c r="I25" s="18">
        <f t="shared" si="1"/>
        <v>133.6130492174241</v>
      </c>
      <c r="J25" s="18">
        <v>75.7</v>
      </c>
      <c r="K25" s="18">
        <v>23.5</v>
      </c>
      <c r="L25" s="18">
        <f>K25/J25*100</f>
        <v>31.04359313077939</v>
      </c>
      <c r="M25" s="18">
        <v>165.4</v>
      </c>
      <c r="N25" s="18">
        <v>92.2</v>
      </c>
      <c r="O25" s="18">
        <f>N25/M25*100</f>
        <v>55.743651753325274</v>
      </c>
      <c r="P25" s="18">
        <v>339.7</v>
      </c>
      <c r="Q25" s="18">
        <v>192.5</v>
      </c>
      <c r="R25" s="18">
        <f>Q25/P25*100</f>
        <v>56.66764792463938</v>
      </c>
      <c r="S25" s="17">
        <f>D25-E25</f>
        <v>272.59999999999997</v>
      </c>
      <c r="T25" s="68">
        <f>G25-H25</f>
        <v>-356.5</v>
      </c>
      <c r="U25" s="16">
        <f>C25+G25-H25</f>
        <v>156.5</v>
      </c>
    </row>
    <row r="26" spans="1:21" ht="23.25" customHeight="1">
      <c r="A26" s="120">
        <v>18</v>
      </c>
      <c r="B26" s="23" t="s">
        <v>69</v>
      </c>
      <c r="C26" s="41">
        <v>0</v>
      </c>
      <c r="D26" s="34">
        <f>J26</f>
        <v>0</v>
      </c>
      <c r="E26" s="34">
        <f>K26</f>
        <v>0</v>
      </c>
      <c r="F26" s="26" t="e">
        <f>E26/D26*100</f>
        <v>#DIV/0!</v>
      </c>
      <c r="G26" s="18">
        <v>4.3</v>
      </c>
      <c r="H26" s="18">
        <v>3.7</v>
      </c>
      <c r="I26" s="18">
        <f t="shared" si="1"/>
        <v>86.04651162790698</v>
      </c>
      <c r="J26" s="26"/>
      <c r="K26" s="26"/>
      <c r="L26" s="26" t="e">
        <f>K26/J26*100</f>
        <v>#DIV/0!</v>
      </c>
      <c r="M26" s="26"/>
      <c r="N26" s="26"/>
      <c r="O26" s="18" t="e">
        <f>N26/M26*100</f>
        <v>#DIV/0!</v>
      </c>
      <c r="P26" s="18"/>
      <c r="Q26" s="18"/>
      <c r="R26" s="18"/>
      <c r="S26" s="17"/>
      <c r="T26" s="68"/>
      <c r="U26" s="16">
        <f>C26+G26-H26</f>
        <v>0.5999999999999996</v>
      </c>
    </row>
    <row r="27" spans="1:21" ht="23.25" customHeight="1">
      <c r="A27" s="120">
        <v>19</v>
      </c>
      <c r="B27" s="25" t="s">
        <v>70</v>
      </c>
      <c r="C27" s="41">
        <v>2.2</v>
      </c>
      <c r="D27" s="34">
        <f>J27</f>
        <v>0</v>
      </c>
      <c r="E27" s="34">
        <f>K27</f>
        <v>0</v>
      </c>
      <c r="F27" s="26" t="e">
        <f>E27/D27*100</f>
        <v>#DIV/0!</v>
      </c>
      <c r="G27" s="129">
        <v>3.7</v>
      </c>
      <c r="H27" s="129">
        <v>3.7</v>
      </c>
      <c r="I27" s="130">
        <f t="shared" si="1"/>
        <v>100</v>
      </c>
      <c r="J27" s="26"/>
      <c r="K27" s="18"/>
      <c r="L27" s="26" t="e">
        <f>K27/J27*100</f>
        <v>#DIV/0!</v>
      </c>
      <c r="M27" s="26"/>
      <c r="N27" s="26"/>
      <c r="O27" s="18" t="e">
        <f>N27/M27*100</f>
        <v>#DIV/0!</v>
      </c>
      <c r="P27" s="18"/>
      <c r="Q27" s="18"/>
      <c r="R27" s="18"/>
      <c r="S27" s="17"/>
      <c r="T27" s="68">
        <f>G27-H27</f>
        <v>0</v>
      </c>
      <c r="U27" s="16">
        <f>C27+G27-H27</f>
        <v>2.2</v>
      </c>
    </row>
    <row r="28" spans="1:21" ht="34.5" customHeight="1">
      <c r="A28" s="120">
        <v>20</v>
      </c>
      <c r="B28" s="25" t="s">
        <v>105</v>
      </c>
      <c r="C28" s="41">
        <v>0</v>
      </c>
      <c r="D28" s="41">
        <f>J28+M28+P28</f>
        <v>10.2</v>
      </c>
      <c r="E28" s="41">
        <f>K28+N28+Q28</f>
        <v>10.2</v>
      </c>
      <c r="F28" s="107">
        <f>E28/D28*100</f>
        <v>100</v>
      </c>
      <c r="G28" s="18">
        <v>0</v>
      </c>
      <c r="H28" s="18">
        <v>0</v>
      </c>
      <c r="I28" s="130" t="e">
        <f t="shared" si="1"/>
        <v>#DIV/0!</v>
      </c>
      <c r="J28" s="18">
        <v>2</v>
      </c>
      <c r="K28" s="18">
        <v>2</v>
      </c>
      <c r="L28" s="18">
        <f>K28/J28*100</f>
        <v>100</v>
      </c>
      <c r="M28" s="18">
        <v>4.1</v>
      </c>
      <c r="N28" s="18">
        <v>4.1</v>
      </c>
      <c r="O28" s="18">
        <f>N28/M28*100</f>
        <v>100</v>
      </c>
      <c r="P28" s="18">
        <v>4.1</v>
      </c>
      <c r="Q28" s="18">
        <v>4.1</v>
      </c>
      <c r="R28" s="18">
        <f>Q28/P28*100</f>
        <v>100</v>
      </c>
      <c r="S28" s="17">
        <f>D28-E28</f>
        <v>0</v>
      </c>
      <c r="T28" s="68">
        <f>G28-H28</f>
        <v>0</v>
      </c>
      <c r="U28" s="16">
        <f>C28+G28-H28</f>
        <v>0</v>
      </c>
    </row>
    <row r="29" spans="1:21" ht="40.5" customHeight="1">
      <c r="A29" s="120">
        <v>21</v>
      </c>
      <c r="B29" s="23" t="s">
        <v>71</v>
      </c>
      <c r="C29" s="41">
        <f>21.5+84.4</f>
        <v>105.9</v>
      </c>
      <c r="D29" s="41">
        <f>J29+M29+P29</f>
        <v>16.7</v>
      </c>
      <c r="E29" s="41">
        <f>K29+N29+Q29</f>
        <v>16.7</v>
      </c>
      <c r="F29" s="92">
        <f>E29/D29*100</f>
        <v>100</v>
      </c>
      <c r="G29" s="18">
        <v>493.3</v>
      </c>
      <c r="H29" s="18">
        <f>21.5+543.3</f>
        <v>564.8</v>
      </c>
      <c r="I29" s="18">
        <f t="shared" si="1"/>
        <v>114.49422258260694</v>
      </c>
      <c r="J29" s="18">
        <v>16.7</v>
      </c>
      <c r="K29" s="18">
        <v>16.7</v>
      </c>
      <c r="L29" s="18">
        <f>K29/J29*100</f>
        <v>100</v>
      </c>
      <c r="M29" s="18">
        <v>0</v>
      </c>
      <c r="N29" s="18">
        <v>0</v>
      </c>
      <c r="O29" s="18" t="e">
        <f>N29/M29*100</f>
        <v>#DIV/0!</v>
      </c>
      <c r="P29" s="18">
        <v>0</v>
      </c>
      <c r="Q29" s="18">
        <v>0</v>
      </c>
      <c r="R29" s="18" t="e">
        <f>Q29/P29*100</f>
        <v>#DIV/0!</v>
      </c>
      <c r="S29" s="17">
        <f>D29-E29</f>
        <v>0</v>
      </c>
      <c r="T29" s="68">
        <f>G29-H29</f>
        <v>-71.49999999999994</v>
      </c>
      <c r="U29" s="16">
        <f>C29+G29-H29</f>
        <v>34.40000000000009</v>
      </c>
    </row>
    <row r="30" spans="1:21" ht="23.25" customHeight="1">
      <c r="A30" s="120">
        <v>22</v>
      </c>
      <c r="B30" s="23" t="s">
        <v>72</v>
      </c>
      <c r="C30" s="71"/>
      <c r="D30" s="200" t="s">
        <v>88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1"/>
    </row>
    <row r="31" spans="1:21" ht="23.25" customHeight="1">
      <c r="A31" s="120">
        <v>23</v>
      </c>
      <c r="B31" s="25" t="s">
        <v>73</v>
      </c>
      <c r="C31" s="83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3"/>
    </row>
    <row r="32" spans="1:21" ht="23.25" customHeight="1">
      <c r="A32" s="120">
        <v>24</v>
      </c>
      <c r="B32" s="25" t="s">
        <v>74</v>
      </c>
      <c r="C32" s="8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5"/>
    </row>
    <row r="33" spans="1:21" ht="23.25" customHeight="1">
      <c r="A33" s="120">
        <v>25</v>
      </c>
      <c r="B33" s="25" t="s">
        <v>97</v>
      </c>
      <c r="C33" s="41"/>
      <c r="D33" s="24"/>
      <c r="E33" s="24"/>
      <c r="F33" s="18"/>
      <c r="G33" s="26"/>
      <c r="H33" s="26"/>
      <c r="I33" s="26" t="e">
        <f aca="true" t="shared" si="10" ref="I33:I48">H33/G33*100</f>
        <v>#DIV/0!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86"/>
      <c r="U33" s="16"/>
    </row>
    <row r="34" spans="1:21" ht="23.25" customHeight="1">
      <c r="A34" s="120"/>
      <c r="B34" s="25" t="s">
        <v>76</v>
      </c>
      <c r="C34" s="41">
        <v>232.6</v>
      </c>
      <c r="D34" s="41">
        <f aca="true" t="shared" si="11" ref="D34:E47">J34+M34+P34</f>
        <v>179.5</v>
      </c>
      <c r="E34" s="41">
        <f t="shared" si="11"/>
        <v>192.5</v>
      </c>
      <c r="F34" s="92">
        <f>E34/D34*100</f>
        <v>107.24233983286908</v>
      </c>
      <c r="G34" s="18">
        <v>539.5</v>
      </c>
      <c r="H34" s="18">
        <v>705.7</v>
      </c>
      <c r="I34" s="18">
        <f t="shared" si="10"/>
        <v>130.80630213160333</v>
      </c>
      <c r="J34" s="18">
        <v>24</v>
      </c>
      <c r="K34" s="18">
        <v>1</v>
      </c>
      <c r="L34" s="18">
        <f aca="true" t="shared" si="12" ref="L34:L48">K34/J34*100</f>
        <v>4.166666666666666</v>
      </c>
      <c r="M34" s="18">
        <v>62</v>
      </c>
      <c r="N34" s="18">
        <f>25.9+26.9+32.2</f>
        <v>85</v>
      </c>
      <c r="O34" s="18">
        <f>N34/M34*100</f>
        <v>137.09677419354838</v>
      </c>
      <c r="P34" s="18">
        <v>93.5</v>
      </c>
      <c r="Q34" s="18">
        <v>106.5</v>
      </c>
      <c r="R34" s="18">
        <f>Q34/P34*100</f>
        <v>113.90374331550801</v>
      </c>
      <c r="S34" s="17">
        <f>D34-E34</f>
        <v>-13</v>
      </c>
      <c r="T34" s="68">
        <f>G34-H34</f>
        <v>-166.20000000000005</v>
      </c>
      <c r="U34" s="16">
        <f aca="true" t="shared" si="13" ref="U34:U43">C34+G34-H34</f>
        <v>66.39999999999998</v>
      </c>
    </row>
    <row r="35" spans="1:21" ht="24.75" customHeight="1">
      <c r="A35" s="121"/>
      <c r="B35" s="25" t="s">
        <v>77</v>
      </c>
      <c r="C35" s="41">
        <v>0</v>
      </c>
      <c r="D35" s="41">
        <f t="shared" si="11"/>
        <v>0</v>
      </c>
      <c r="E35" s="41">
        <f t="shared" si="11"/>
        <v>0</v>
      </c>
      <c r="F35" s="92"/>
      <c r="G35" s="26"/>
      <c r="H35" s="26"/>
      <c r="I35" s="26" t="e">
        <f t="shared" si="10"/>
        <v>#DIV/0!</v>
      </c>
      <c r="J35" s="26"/>
      <c r="K35" s="26"/>
      <c r="L35" s="26" t="e">
        <f t="shared" si="12"/>
        <v>#DIV/0!</v>
      </c>
      <c r="M35" s="26"/>
      <c r="N35" s="26"/>
      <c r="O35" s="26"/>
      <c r="P35" s="26"/>
      <c r="Q35" s="26"/>
      <c r="R35" s="26"/>
      <c r="S35" s="17"/>
      <c r="T35" s="104">
        <f>E35-F35</f>
        <v>0</v>
      </c>
      <c r="U35" s="16">
        <f t="shared" si="13"/>
        <v>0</v>
      </c>
    </row>
    <row r="36" spans="1:21" ht="40.5" customHeight="1">
      <c r="A36" s="120">
        <v>26</v>
      </c>
      <c r="B36" s="25" t="s">
        <v>106</v>
      </c>
      <c r="C36" s="41">
        <v>1363.4</v>
      </c>
      <c r="D36" s="41">
        <f t="shared" si="11"/>
        <v>1063.1</v>
      </c>
      <c r="E36" s="41">
        <f t="shared" si="11"/>
        <v>1172.8</v>
      </c>
      <c r="F36" s="92">
        <f aca="true" t="shared" si="14" ref="F36:F48">E36/D36*100</f>
        <v>110.31887875082307</v>
      </c>
      <c r="G36" s="18">
        <v>3707.9</v>
      </c>
      <c r="H36" s="18">
        <v>615.8</v>
      </c>
      <c r="I36" s="18">
        <f t="shared" si="10"/>
        <v>16.60778338142884</v>
      </c>
      <c r="J36" s="18">
        <v>28.7</v>
      </c>
      <c r="K36" s="18">
        <v>47</v>
      </c>
      <c r="L36" s="18">
        <f t="shared" si="12"/>
        <v>163.7630662020906</v>
      </c>
      <c r="M36" s="18">
        <v>219.9</v>
      </c>
      <c r="N36" s="18">
        <v>387.2</v>
      </c>
      <c r="O36" s="18">
        <f aca="true" t="shared" si="15" ref="O36:O48">N36/M36*100</f>
        <v>176.0800363801728</v>
      </c>
      <c r="P36" s="18">
        <v>814.5</v>
      </c>
      <c r="Q36" s="18">
        <v>738.6</v>
      </c>
      <c r="R36" s="18">
        <f aca="true" t="shared" si="16" ref="R36:R48">Q36/P36*100</f>
        <v>90.68139963167587</v>
      </c>
      <c r="S36" s="17">
        <f aca="true" t="shared" si="17" ref="S36:S47">D36-E36</f>
        <v>-109.70000000000005</v>
      </c>
      <c r="T36" s="68">
        <f aca="true" t="shared" si="18" ref="T36:T43">G36-H36</f>
        <v>3092.1000000000004</v>
      </c>
      <c r="U36" s="16">
        <f t="shared" si="13"/>
        <v>4455.5</v>
      </c>
    </row>
    <row r="37" spans="1:21" ht="23.25" customHeight="1">
      <c r="A37" s="120">
        <v>27</v>
      </c>
      <c r="B37" s="23" t="s">
        <v>78</v>
      </c>
      <c r="C37" s="41">
        <v>81.3</v>
      </c>
      <c r="D37" s="41">
        <f t="shared" si="11"/>
        <v>68.5</v>
      </c>
      <c r="E37" s="41">
        <f t="shared" si="11"/>
        <v>50.900000000000006</v>
      </c>
      <c r="F37" s="92">
        <f t="shared" si="14"/>
        <v>74.3065693430657</v>
      </c>
      <c r="G37" s="18">
        <v>217.2</v>
      </c>
      <c r="H37" s="18">
        <v>310.5</v>
      </c>
      <c r="I37" s="18">
        <f t="shared" si="10"/>
        <v>142.95580110497238</v>
      </c>
      <c r="J37" s="18">
        <v>5.4</v>
      </c>
      <c r="K37" s="18">
        <v>1.9</v>
      </c>
      <c r="L37" s="18">
        <f t="shared" si="12"/>
        <v>35.18518518518518</v>
      </c>
      <c r="M37" s="18">
        <v>26.2</v>
      </c>
      <c r="N37" s="18">
        <v>6.3</v>
      </c>
      <c r="O37" s="18">
        <f t="shared" si="15"/>
        <v>24.045801526717558</v>
      </c>
      <c r="P37" s="18">
        <v>36.9</v>
      </c>
      <c r="Q37" s="18">
        <v>42.7</v>
      </c>
      <c r="R37" s="18">
        <f t="shared" si="16"/>
        <v>115.71815718157184</v>
      </c>
      <c r="S37" s="17">
        <f t="shared" si="17"/>
        <v>17.599999999999994</v>
      </c>
      <c r="T37" s="68">
        <f t="shared" si="18"/>
        <v>-93.30000000000001</v>
      </c>
      <c r="U37" s="16">
        <f t="shared" si="13"/>
        <v>-12</v>
      </c>
    </row>
    <row r="38" spans="1:21" ht="23.25" customHeight="1">
      <c r="A38" s="120">
        <v>28</v>
      </c>
      <c r="B38" s="25" t="s">
        <v>79</v>
      </c>
      <c r="C38" s="41">
        <v>924.7</v>
      </c>
      <c r="D38" s="41">
        <f t="shared" si="11"/>
        <v>756.8</v>
      </c>
      <c r="E38" s="41">
        <f t="shared" si="11"/>
        <v>448.3</v>
      </c>
      <c r="F38" s="92">
        <f t="shared" si="14"/>
        <v>59.2362579281184</v>
      </c>
      <c r="G38" s="18">
        <v>1629.3</v>
      </c>
      <c r="H38" s="18">
        <v>2102.1</v>
      </c>
      <c r="I38" s="18">
        <f t="shared" si="10"/>
        <v>129.01859694347266</v>
      </c>
      <c r="J38" s="18">
        <v>128.8</v>
      </c>
      <c r="K38" s="18">
        <v>67.8</v>
      </c>
      <c r="L38" s="18">
        <f t="shared" si="12"/>
        <v>52.63975155279502</v>
      </c>
      <c r="M38" s="18">
        <v>206.2</v>
      </c>
      <c r="N38" s="18">
        <v>144.3</v>
      </c>
      <c r="O38" s="18">
        <f t="shared" si="15"/>
        <v>69.98060135790496</v>
      </c>
      <c r="P38" s="18">
        <v>421.8</v>
      </c>
      <c r="Q38" s="18">
        <v>236.2</v>
      </c>
      <c r="R38" s="18">
        <f t="shared" si="16"/>
        <v>55.99810336652441</v>
      </c>
      <c r="S38" s="17">
        <f t="shared" si="17"/>
        <v>308.49999999999994</v>
      </c>
      <c r="T38" s="68">
        <f t="shared" si="18"/>
        <v>-472.79999999999995</v>
      </c>
      <c r="U38" s="69">
        <f t="shared" si="13"/>
        <v>451.9000000000001</v>
      </c>
    </row>
    <row r="39" spans="1:21" ht="23.25" customHeight="1">
      <c r="A39" s="120">
        <v>29</v>
      </c>
      <c r="B39" s="25" t="s">
        <v>80</v>
      </c>
      <c r="C39" s="41">
        <v>630.9</v>
      </c>
      <c r="D39" s="41">
        <f t="shared" si="11"/>
        <v>1000.2</v>
      </c>
      <c r="E39" s="41">
        <f t="shared" si="11"/>
        <v>570.5</v>
      </c>
      <c r="F39" s="92">
        <f t="shared" si="14"/>
        <v>57.038592281543686</v>
      </c>
      <c r="G39" s="18">
        <v>2235.2</v>
      </c>
      <c r="H39" s="18">
        <v>2709.2</v>
      </c>
      <c r="I39" s="18">
        <f t="shared" si="10"/>
        <v>121.20615604867572</v>
      </c>
      <c r="J39" s="18">
        <v>220.6</v>
      </c>
      <c r="K39" s="18">
        <v>40.5</v>
      </c>
      <c r="L39" s="18">
        <f t="shared" si="12"/>
        <v>18.359020852221217</v>
      </c>
      <c r="M39" s="18">
        <v>288.3</v>
      </c>
      <c r="N39" s="18">
        <v>244.5</v>
      </c>
      <c r="O39" s="18">
        <f t="shared" si="15"/>
        <v>84.80749219562955</v>
      </c>
      <c r="P39" s="18">
        <v>491.3</v>
      </c>
      <c r="Q39" s="18">
        <v>285.5</v>
      </c>
      <c r="R39" s="18">
        <f t="shared" si="16"/>
        <v>58.11113372684714</v>
      </c>
      <c r="S39" s="17">
        <f t="shared" si="17"/>
        <v>429.70000000000005</v>
      </c>
      <c r="T39" s="68">
        <f t="shared" si="18"/>
        <v>-474</v>
      </c>
      <c r="U39" s="16">
        <f t="shared" si="13"/>
        <v>156.9000000000001</v>
      </c>
    </row>
    <row r="40" spans="1:21" ht="35.25" customHeight="1">
      <c r="A40" s="120">
        <v>30</v>
      </c>
      <c r="B40" s="25" t="s">
        <v>107</v>
      </c>
      <c r="C40" s="41">
        <v>448.7</v>
      </c>
      <c r="D40" s="41">
        <f t="shared" si="11"/>
        <v>1074.3</v>
      </c>
      <c r="E40" s="41">
        <f t="shared" si="11"/>
        <v>1062.6999999999998</v>
      </c>
      <c r="F40" s="92">
        <f t="shared" si="14"/>
        <v>98.9202271246393</v>
      </c>
      <c r="G40" s="18">
        <v>3388.3</v>
      </c>
      <c r="H40" s="18">
        <v>3353.7</v>
      </c>
      <c r="I40" s="18">
        <f t="shared" si="10"/>
        <v>98.978838945784</v>
      </c>
      <c r="J40" s="18">
        <v>204.9</v>
      </c>
      <c r="K40" s="18">
        <v>207.6</v>
      </c>
      <c r="L40" s="18">
        <f t="shared" si="12"/>
        <v>101.31771595900439</v>
      </c>
      <c r="M40" s="18">
        <v>333.5</v>
      </c>
      <c r="N40" s="18">
        <v>459.2</v>
      </c>
      <c r="O40" s="18">
        <f t="shared" si="15"/>
        <v>137.6911544227886</v>
      </c>
      <c r="P40" s="18">
        <v>535.9</v>
      </c>
      <c r="Q40" s="18">
        <v>395.9</v>
      </c>
      <c r="R40" s="18">
        <f t="shared" si="16"/>
        <v>73.87572308266468</v>
      </c>
      <c r="S40" s="17">
        <f t="shared" si="17"/>
        <v>11.600000000000136</v>
      </c>
      <c r="T40" s="68">
        <f t="shared" si="18"/>
        <v>34.600000000000364</v>
      </c>
      <c r="U40" s="16">
        <f t="shared" si="13"/>
        <v>483.3000000000002</v>
      </c>
    </row>
    <row r="41" spans="1:21" ht="23.25" customHeight="1">
      <c r="A41" s="120">
        <v>31</v>
      </c>
      <c r="B41" s="25" t="s">
        <v>81</v>
      </c>
      <c r="C41" s="41">
        <v>19.2</v>
      </c>
      <c r="D41" s="41">
        <f t="shared" si="11"/>
        <v>13.2</v>
      </c>
      <c r="E41" s="41">
        <f t="shared" si="11"/>
        <v>6.7</v>
      </c>
      <c r="F41" s="92">
        <f>E41/D41*100</f>
        <v>50.75757575757576</v>
      </c>
      <c r="G41" s="18">
        <v>31.8</v>
      </c>
      <c r="H41" s="18">
        <v>35.5</v>
      </c>
      <c r="I41" s="18">
        <f t="shared" si="10"/>
        <v>111.63522012578618</v>
      </c>
      <c r="J41" s="18">
        <v>1.5</v>
      </c>
      <c r="K41" s="18">
        <v>0</v>
      </c>
      <c r="L41" s="18">
        <f t="shared" si="12"/>
        <v>0</v>
      </c>
      <c r="M41" s="18">
        <v>5.5</v>
      </c>
      <c r="N41" s="18">
        <v>2.3</v>
      </c>
      <c r="O41" s="18">
        <f t="shared" si="15"/>
        <v>41.81818181818181</v>
      </c>
      <c r="P41" s="18">
        <v>6.2</v>
      </c>
      <c r="Q41" s="18">
        <v>4.4</v>
      </c>
      <c r="R41" s="18">
        <f t="shared" si="16"/>
        <v>70.96774193548387</v>
      </c>
      <c r="S41" s="17">
        <f>D41-E41</f>
        <v>6.499999999999999</v>
      </c>
      <c r="T41" s="68">
        <f t="shared" si="18"/>
        <v>-3.6999999999999993</v>
      </c>
      <c r="U41" s="16">
        <f t="shared" si="13"/>
        <v>15.5</v>
      </c>
    </row>
    <row r="42" spans="1:21" ht="35.25" customHeight="1">
      <c r="A42" s="120">
        <v>32</v>
      </c>
      <c r="B42" s="23" t="s">
        <v>82</v>
      </c>
      <c r="C42" s="41">
        <v>572.7</v>
      </c>
      <c r="D42" s="41">
        <f t="shared" si="11"/>
        <v>361.5</v>
      </c>
      <c r="E42" s="41">
        <f t="shared" si="11"/>
        <v>203.8</v>
      </c>
      <c r="F42" s="92">
        <f>E42/D42*100</f>
        <v>56.376210235131396</v>
      </c>
      <c r="G42" s="18">
        <v>924.9</v>
      </c>
      <c r="H42" s="18">
        <v>1197.6</v>
      </c>
      <c r="I42" s="18">
        <f t="shared" si="10"/>
        <v>129.48426856957508</v>
      </c>
      <c r="J42" s="18">
        <v>35.2</v>
      </c>
      <c r="K42" s="18">
        <v>28.5</v>
      </c>
      <c r="L42" s="18">
        <f t="shared" si="12"/>
        <v>80.96590909090908</v>
      </c>
      <c r="M42" s="18">
        <v>102.5</v>
      </c>
      <c r="N42" s="18">
        <v>61.9</v>
      </c>
      <c r="O42" s="18">
        <f t="shared" si="15"/>
        <v>60.390243902439025</v>
      </c>
      <c r="P42" s="18">
        <v>223.8</v>
      </c>
      <c r="Q42" s="18">
        <v>113.4</v>
      </c>
      <c r="R42" s="18">
        <f t="shared" si="16"/>
        <v>50.67024128686327</v>
      </c>
      <c r="S42" s="17">
        <f t="shared" si="17"/>
        <v>157.7</v>
      </c>
      <c r="T42" s="68">
        <f t="shared" si="18"/>
        <v>-272.69999999999993</v>
      </c>
      <c r="U42" s="16">
        <f t="shared" si="13"/>
        <v>300</v>
      </c>
    </row>
    <row r="43" spans="1:21" ht="23.25" customHeight="1">
      <c r="A43" s="120">
        <v>33</v>
      </c>
      <c r="B43" s="25" t="s">
        <v>83</v>
      </c>
      <c r="C43" s="41">
        <v>183</v>
      </c>
      <c r="D43" s="41">
        <f t="shared" si="11"/>
        <v>437.3</v>
      </c>
      <c r="E43" s="41">
        <f t="shared" si="11"/>
        <v>355.6</v>
      </c>
      <c r="F43" s="92">
        <f t="shared" si="14"/>
        <v>81.31717356505833</v>
      </c>
      <c r="G43" s="18">
        <v>938.1</v>
      </c>
      <c r="H43" s="18">
        <v>1154.2</v>
      </c>
      <c r="I43" s="18">
        <f t="shared" si="10"/>
        <v>123.03592367551434</v>
      </c>
      <c r="J43" s="18">
        <v>45.6</v>
      </c>
      <c r="K43" s="18">
        <v>23.4</v>
      </c>
      <c r="L43" s="18">
        <f t="shared" si="12"/>
        <v>51.315789473684205</v>
      </c>
      <c r="M43" s="18">
        <v>132.9</v>
      </c>
      <c r="N43" s="18">
        <v>86.3</v>
      </c>
      <c r="O43" s="18">
        <f t="shared" si="15"/>
        <v>64.93604213694508</v>
      </c>
      <c r="P43" s="18">
        <v>258.8</v>
      </c>
      <c r="Q43" s="18">
        <v>245.9</v>
      </c>
      <c r="R43" s="18">
        <f t="shared" si="16"/>
        <v>95.01545595054097</v>
      </c>
      <c r="S43" s="17">
        <f t="shared" si="17"/>
        <v>81.69999999999999</v>
      </c>
      <c r="T43" s="68">
        <f t="shared" si="18"/>
        <v>-216.10000000000002</v>
      </c>
      <c r="U43" s="16">
        <f t="shared" si="13"/>
        <v>-33.100000000000136</v>
      </c>
    </row>
    <row r="44" spans="1:23" s="7" customFormat="1" ht="23.25" customHeight="1">
      <c r="A44" s="122">
        <v>34</v>
      </c>
      <c r="B44" s="6" t="s">
        <v>84</v>
      </c>
      <c r="C44" s="42">
        <f aca="true" t="shared" si="19" ref="C44:H44">C45+C46+C47</f>
        <v>95088.3</v>
      </c>
      <c r="D44" s="42">
        <f t="shared" si="19"/>
        <v>85548.6</v>
      </c>
      <c r="E44" s="42">
        <f t="shared" si="19"/>
        <v>81624.3</v>
      </c>
      <c r="F44" s="42">
        <f t="shared" si="19"/>
        <v>258.365307282455</v>
      </c>
      <c r="G44" s="42">
        <f t="shared" si="19"/>
        <v>290564.8</v>
      </c>
      <c r="H44" s="42">
        <f t="shared" si="19"/>
        <v>294074.10000000003</v>
      </c>
      <c r="I44" s="17">
        <f t="shared" si="10"/>
        <v>101.20775124860273</v>
      </c>
      <c r="J44" s="16">
        <f>J45+J46+J47</f>
        <v>16134</v>
      </c>
      <c r="K44" s="16">
        <f>K45+K46+K47</f>
        <v>16902</v>
      </c>
      <c r="L44" s="17">
        <f t="shared" si="12"/>
        <v>104.76013387876534</v>
      </c>
      <c r="M44" s="16">
        <f>M45+M46+M47</f>
        <v>28039.5</v>
      </c>
      <c r="N44" s="16">
        <f>N45+N46+N47</f>
        <v>28548.1</v>
      </c>
      <c r="O44" s="17">
        <f t="shared" si="15"/>
        <v>101.81386971950283</v>
      </c>
      <c r="P44" s="16">
        <f>P45+P46+P47</f>
        <v>41375.1</v>
      </c>
      <c r="Q44" s="16">
        <f>Q45+Q46+Q47</f>
        <v>36174.2</v>
      </c>
      <c r="R44" s="17">
        <f t="shared" si="16"/>
        <v>87.4298793235545</v>
      </c>
      <c r="S44" s="59">
        <f>SUMIF(S45:S47,"&gt;0",S45:S47)</f>
        <v>5613.1</v>
      </c>
      <c r="T44" s="59">
        <f>SUMIF(T45:T47,"&gt;0",T45:T47)</f>
        <v>5137</v>
      </c>
      <c r="U44" s="59">
        <f>SUMIF(U45:U47,"&gt;0",U45:U47)</f>
        <v>101067.1</v>
      </c>
      <c r="V44" s="7">
        <f>-316.9-1683.6</f>
        <v>-2000.5</v>
      </c>
      <c r="W44" s="7">
        <v>-3670</v>
      </c>
    </row>
    <row r="45" spans="1:21" s="7" customFormat="1" ht="23.25" customHeight="1">
      <c r="A45" s="122"/>
      <c r="B45" s="23" t="s">
        <v>85</v>
      </c>
      <c r="C45" s="41">
        <v>95402</v>
      </c>
      <c r="D45" s="41">
        <f t="shared" si="11"/>
        <v>70553</v>
      </c>
      <c r="E45" s="41">
        <f t="shared" si="11"/>
        <v>65093</v>
      </c>
      <c r="F45" s="92">
        <f t="shared" si="14"/>
        <v>92.26113701756127</v>
      </c>
      <c r="G45" s="18">
        <v>198698</v>
      </c>
      <c r="H45" s="18">
        <f>182229+11518</f>
        <v>193747</v>
      </c>
      <c r="I45" s="18">
        <f t="shared" si="10"/>
        <v>97.50827889561042</v>
      </c>
      <c r="J45" s="18">
        <v>11027</v>
      </c>
      <c r="K45" s="18">
        <v>11848</v>
      </c>
      <c r="L45" s="18">
        <f t="shared" si="12"/>
        <v>107.44536138568968</v>
      </c>
      <c r="M45" s="18">
        <v>22320</v>
      </c>
      <c r="N45" s="18">
        <v>22856</v>
      </c>
      <c r="O45" s="18">
        <f t="shared" si="15"/>
        <v>102.40143369175627</v>
      </c>
      <c r="P45" s="18">
        <v>37206</v>
      </c>
      <c r="Q45" s="18">
        <v>30389</v>
      </c>
      <c r="R45" s="18">
        <f t="shared" si="16"/>
        <v>81.67768639466753</v>
      </c>
      <c r="S45" s="17">
        <f t="shared" si="17"/>
        <v>5460</v>
      </c>
      <c r="T45" s="86">
        <f>G45-H45</f>
        <v>4951</v>
      </c>
      <c r="U45" s="24">
        <f>C45+G45-H45</f>
        <v>100353</v>
      </c>
    </row>
    <row r="46" spans="1:21" s="7" customFormat="1" ht="23.25" customHeight="1">
      <c r="A46" s="122"/>
      <c r="B46" s="23" t="s">
        <v>86</v>
      </c>
      <c r="C46" s="41">
        <v>-841.8</v>
      </c>
      <c r="D46" s="41">
        <f t="shared" si="11"/>
        <v>14658.5</v>
      </c>
      <c r="E46" s="41">
        <f t="shared" si="11"/>
        <v>16347.300000000001</v>
      </c>
      <c r="F46" s="92">
        <f t="shared" si="14"/>
        <v>111.52096053484328</v>
      </c>
      <c r="G46" s="18">
        <v>90119.6</v>
      </c>
      <c r="H46" s="18">
        <v>98765.9</v>
      </c>
      <c r="I46" s="18">
        <f t="shared" si="10"/>
        <v>109.59425030736931</v>
      </c>
      <c r="J46" s="18">
        <v>4993.7</v>
      </c>
      <c r="K46" s="18">
        <f>4584.6+409.1</f>
        <v>4993.700000000001</v>
      </c>
      <c r="L46" s="18">
        <f t="shared" si="12"/>
        <v>100.00000000000003</v>
      </c>
      <c r="M46" s="18">
        <v>5626.1</v>
      </c>
      <c r="N46" s="18">
        <f>3841+1785.1</f>
        <v>5626.1</v>
      </c>
      <c r="O46" s="18">
        <f t="shared" si="15"/>
        <v>100</v>
      </c>
      <c r="P46" s="18">
        <v>4038.7</v>
      </c>
      <c r="Q46" s="18">
        <v>5727.5</v>
      </c>
      <c r="R46" s="18">
        <f t="shared" si="16"/>
        <v>141.8154356599896</v>
      </c>
      <c r="S46" s="17">
        <f t="shared" si="17"/>
        <v>-1688.800000000001</v>
      </c>
      <c r="T46" s="86">
        <f>G46-H46</f>
        <v>-8646.299999999988</v>
      </c>
      <c r="U46" s="24">
        <f>C46+G46-H46</f>
        <v>-9488.099999999991</v>
      </c>
    </row>
    <row r="47" spans="1:21" s="7" customFormat="1" ht="24.75" customHeight="1">
      <c r="A47" s="122"/>
      <c r="B47" s="23" t="s">
        <v>77</v>
      </c>
      <c r="C47" s="41">
        <v>528.1</v>
      </c>
      <c r="D47" s="41">
        <f t="shared" si="11"/>
        <v>337.1</v>
      </c>
      <c r="E47" s="41">
        <f t="shared" si="11"/>
        <v>184</v>
      </c>
      <c r="F47" s="92">
        <f t="shared" si="14"/>
        <v>54.58320973005043</v>
      </c>
      <c r="G47" s="18">
        <v>1747.2</v>
      </c>
      <c r="H47" s="18">
        <v>1561.2</v>
      </c>
      <c r="I47" s="18">
        <f>H47/G47*100</f>
        <v>89.3543956043956</v>
      </c>
      <c r="J47" s="18">
        <v>113.3</v>
      </c>
      <c r="K47" s="18">
        <v>60.3</v>
      </c>
      <c r="L47" s="18">
        <f t="shared" si="12"/>
        <v>53.22153574580759</v>
      </c>
      <c r="M47" s="18">
        <v>93.4</v>
      </c>
      <c r="N47" s="18">
        <v>66</v>
      </c>
      <c r="O47" s="18">
        <f t="shared" si="15"/>
        <v>70.66381156316916</v>
      </c>
      <c r="P47" s="18">
        <v>130.4</v>
      </c>
      <c r="Q47" s="18">
        <v>57.7</v>
      </c>
      <c r="R47" s="18">
        <f t="shared" si="16"/>
        <v>44.24846625766871</v>
      </c>
      <c r="S47" s="17">
        <f t="shared" si="17"/>
        <v>153.10000000000002</v>
      </c>
      <c r="T47" s="86">
        <f>G47-H47</f>
        <v>186</v>
      </c>
      <c r="U47" s="24">
        <f>C47+G47-H47</f>
        <v>714.1000000000001</v>
      </c>
    </row>
    <row r="48" spans="1:23" s="7" customFormat="1" ht="23.25" customHeight="1">
      <c r="A48" s="122"/>
      <c r="B48" s="6" t="s">
        <v>87</v>
      </c>
      <c r="C48" s="42">
        <f>C8+C44</f>
        <v>101280.90000000001</v>
      </c>
      <c r="D48" s="42">
        <f>D8+D44</f>
        <v>92743.8</v>
      </c>
      <c r="E48" s="42">
        <f>E8+E44</f>
        <v>87250.6</v>
      </c>
      <c r="F48" s="40">
        <f t="shared" si="14"/>
        <v>94.07701646902542</v>
      </c>
      <c r="G48" s="16">
        <f>G8+G44</f>
        <v>309523.2</v>
      </c>
      <c r="H48" s="16">
        <f>H8+H44</f>
        <v>312910.80000000005</v>
      </c>
      <c r="I48" s="17">
        <f t="shared" si="10"/>
        <v>101.09445753985486</v>
      </c>
      <c r="J48" s="16">
        <f>J8+J44</f>
        <v>17227.6</v>
      </c>
      <c r="K48" s="16">
        <f>K8+K44</f>
        <v>17518.1</v>
      </c>
      <c r="L48" s="17">
        <f t="shared" si="12"/>
        <v>101.68624764912117</v>
      </c>
      <c r="M48" s="16">
        <f>M8+M44</f>
        <v>30039.2</v>
      </c>
      <c r="N48" s="16">
        <f>N8+N44</f>
        <v>30554.3</v>
      </c>
      <c r="O48" s="17">
        <f t="shared" si="15"/>
        <v>101.7147593810754</v>
      </c>
      <c r="P48" s="16">
        <f>P8+P44</f>
        <v>45477</v>
      </c>
      <c r="Q48" s="16">
        <f>Q8+Q44</f>
        <v>39178.2</v>
      </c>
      <c r="R48" s="17">
        <f t="shared" si="16"/>
        <v>86.14948215581502</v>
      </c>
      <c r="S48" s="59">
        <f>S44+S8</f>
        <v>7304.700000000001</v>
      </c>
      <c r="T48" s="108">
        <f>T44+T8</f>
        <v>8267.400000000001</v>
      </c>
      <c r="U48" s="59">
        <f>U44+U8</f>
        <v>107544.40000000001</v>
      </c>
      <c r="V48" s="108">
        <f>V44+V8</f>
        <v>-5009.799999999999</v>
      </c>
      <c r="W48" s="108">
        <f>W44+W8</f>
        <v>-3833</v>
      </c>
    </row>
    <row r="49" spans="1:21" s="7" customFormat="1" ht="25.5" customHeight="1">
      <c r="A49" s="100"/>
      <c r="B49" s="56"/>
      <c r="C49" s="57"/>
      <c r="D49" s="61">
        <f>D48-E48</f>
        <v>5493.199999999997</v>
      </c>
      <c r="E49" s="30"/>
      <c r="F49" s="21"/>
      <c r="G49" s="79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0"/>
    </row>
    <row r="50" spans="1:21" s="7" customFormat="1" ht="19.5" customHeight="1" hidden="1">
      <c r="A50" s="122"/>
      <c r="B50" s="7" t="s">
        <v>92</v>
      </c>
      <c r="C50" s="57"/>
      <c r="D50" s="78"/>
      <c r="E50" s="30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30"/>
    </row>
    <row r="51" spans="1:21" s="7" customFormat="1" ht="7.5" customHeight="1" hidden="1">
      <c r="A51" s="100"/>
      <c r="C51" s="57"/>
      <c r="D51" s="30"/>
      <c r="E51" s="30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87"/>
      <c r="U51" s="30"/>
    </row>
    <row r="52" spans="1:21" s="7" customFormat="1" ht="19.5" customHeight="1" hidden="1">
      <c r="A52" s="122"/>
      <c r="B52" s="7" t="s">
        <v>93</v>
      </c>
      <c r="C52" s="57"/>
      <c r="D52" s="30"/>
      <c r="E52" s="3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87"/>
      <c r="U52" s="30"/>
    </row>
    <row r="53" spans="3:21" ht="13.5" customHeight="1">
      <c r="C53" s="44"/>
      <c r="D53" s="12"/>
      <c r="E53" s="12"/>
      <c r="F53" s="2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9"/>
      <c r="U53" s="12"/>
    </row>
    <row r="54" spans="1:23" s="150" customFormat="1" ht="45.75" customHeight="1">
      <c r="A54" s="142"/>
      <c r="B54" s="231" t="s">
        <v>119</v>
      </c>
      <c r="C54" s="231"/>
      <c r="D54" s="231"/>
      <c r="E54" s="231"/>
      <c r="F54" s="231"/>
      <c r="G54" s="231"/>
      <c r="H54" s="143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5"/>
      <c r="T54" s="146"/>
      <c r="U54" s="147" t="s">
        <v>118</v>
      </c>
      <c r="V54" s="148"/>
      <c r="W54" s="149"/>
    </row>
    <row r="55" spans="2:21" ht="46.5" customHeight="1" hidden="1">
      <c r="B55" s="246" t="s">
        <v>41</v>
      </c>
      <c r="C55" s="246"/>
      <c r="D55" s="246"/>
      <c r="E55" s="246"/>
      <c r="F55" s="24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64"/>
      <c r="U55" s="30"/>
    </row>
    <row r="56" spans="1:28" ht="73.5" customHeight="1" hidden="1">
      <c r="A56" s="181" t="s">
        <v>116</v>
      </c>
      <c r="B56" s="181"/>
      <c r="C56" s="181"/>
      <c r="D56" s="181"/>
      <c r="E56" s="110"/>
      <c r="F56" s="110"/>
      <c r="G56" s="110"/>
      <c r="H56" s="110"/>
      <c r="I56" s="9"/>
      <c r="J56" s="9"/>
      <c r="K56" s="9"/>
      <c r="L56" s="9"/>
      <c r="M56" s="9"/>
      <c r="N56" s="9"/>
      <c r="O56" s="9"/>
      <c r="P56" s="9"/>
      <c r="Q56" s="9"/>
      <c r="R56" s="9"/>
      <c r="S56" s="64"/>
      <c r="T56" s="90"/>
      <c r="U56" s="76" t="s">
        <v>111</v>
      </c>
      <c r="V56" s="9"/>
      <c r="W56" s="9"/>
      <c r="X56" s="9"/>
      <c r="Y56" s="9"/>
      <c r="Z56" s="9"/>
      <c r="AA56" s="64"/>
      <c r="AB56" s="76" t="s">
        <v>111</v>
      </c>
    </row>
    <row r="57" spans="3:21" ht="38.25" customHeight="1">
      <c r="C57" s="44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90"/>
      <c r="U57" s="12"/>
    </row>
    <row r="58" spans="2:21" ht="18.75">
      <c r="B58" s="1" t="s">
        <v>43</v>
      </c>
      <c r="C58" s="45">
        <v>-14.5</v>
      </c>
      <c r="D58" s="33">
        <v>33.8</v>
      </c>
      <c r="E58" s="33">
        <v>2.3</v>
      </c>
      <c r="F58" s="18">
        <f>E58/D58*100</f>
        <v>6.804733727810651</v>
      </c>
      <c r="G58" s="18">
        <v>187.2</v>
      </c>
      <c r="H58" s="18">
        <v>175.1</v>
      </c>
      <c r="I58" s="18"/>
      <c r="J58" s="18">
        <v>9.4</v>
      </c>
      <c r="K58" s="18">
        <v>14.9</v>
      </c>
      <c r="L58" s="18"/>
      <c r="M58" s="18"/>
      <c r="N58" s="18"/>
      <c r="O58" s="18"/>
      <c r="P58" s="18"/>
      <c r="Q58" s="18"/>
      <c r="R58" s="18"/>
      <c r="S58" s="18"/>
      <c r="T58" s="86"/>
      <c r="U58" s="16">
        <f>C58+G58-H58</f>
        <v>-2.4000000000000057</v>
      </c>
    </row>
    <row r="59" spans="2:21" ht="18.75">
      <c r="B59" s="1" t="s">
        <v>44</v>
      </c>
      <c r="C59" s="43">
        <v>3201.9</v>
      </c>
      <c r="D59" s="9">
        <v>196</v>
      </c>
      <c r="E59" s="9">
        <v>0</v>
      </c>
      <c r="F59" s="9"/>
      <c r="G59" s="9">
        <v>2458.4</v>
      </c>
      <c r="H59" s="9">
        <v>2005.6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0"/>
      <c r="U59" s="16">
        <f>C59+G59-H59</f>
        <v>3654.7000000000003</v>
      </c>
    </row>
    <row r="60" spans="3:21" ht="38.25" customHeight="1">
      <c r="C60" s="43"/>
      <c r="D60" s="9">
        <f>SUM(D58:D59)</f>
        <v>229.8</v>
      </c>
      <c r="E60" s="9">
        <f>SUM(E58:E59)</f>
        <v>2.3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0"/>
      <c r="U60" s="9"/>
    </row>
    <row r="61" spans="3:21" ht="38.25" customHeight="1">
      <c r="C61" s="43"/>
      <c r="D61" s="9">
        <f>D60/D36*100</f>
        <v>21.616028595616594</v>
      </c>
      <c r="E61" s="9">
        <f>E60/E36*100</f>
        <v>0.19611186903137787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0"/>
      <c r="U61" s="9"/>
    </row>
    <row r="62" spans="2:21" ht="18.75">
      <c r="B62" s="1" t="s">
        <v>45</v>
      </c>
      <c r="C62" s="43">
        <f>C10+C18+C21+C27+C37+C39+C41</f>
        <v>855.7</v>
      </c>
      <c r="D62" s="9">
        <f>D10+D18+D21+D27+D37+D39+D41</f>
        <v>1259.1000000000001</v>
      </c>
      <c r="E62" s="9">
        <f>E10+E18+E21+E27+E37+E39+E41</f>
        <v>736.6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0"/>
      <c r="U62" s="9">
        <f>U10+U18+U21+U27+U37+U39+U41</f>
        <v>163.70000000000005</v>
      </c>
    </row>
    <row r="63" spans="2:21" ht="18.75">
      <c r="B63" s="1" t="s">
        <v>46</v>
      </c>
      <c r="C63" s="43">
        <f>C12+C14+C15+C17+C19+C20+C26</f>
        <v>113</v>
      </c>
      <c r="D63" s="9">
        <f>D12+D14+D15+D17+D19+D20+D26</f>
        <v>194</v>
      </c>
      <c r="E63" s="9">
        <f>E12+E14+E15+E17+E19+E20+E26</f>
        <v>125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0"/>
      <c r="U63" s="9">
        <f>U12+U14+U15+U17+U19+U20+U26</f>
        <v>30.600000000000016</v>
      </c>
    </row>
    <row r="64" ht="38.25" customHeight="1">
      <c r="T64" s="90"/>
    </row>
    <row r="65" ht="38.25" customHeight="1">
      <c r="T65" s="90"/>
    </row>
    <row r="66" ht="38.25" customHeight="1">
      <c r="T66" s="90"/>
    </row>
    <row r="67" ht="38.25" customHeight="1">
      <c r="T67" s="90"/>
    </row>
    <row r="68" ht="38.25" customHeight="1">
      <c r="T68" s="90"/>
    </row>
    <row r="69" ht="24.75" customHeight="1">
      <c r="T69" s="90"/>
    </row>
    <row r="70" ht="24.75" customHeight="1">
      <c r="T70" s="90"/>
    </row>
    <row r="71" ht="24.75" customHeight="1">
      <c r="T71" s="90"/>
    </row>
    <row r="72" ht="24.75" customHeight="1">
      <c r="T72" s="90"/>
    </row>
    <row r="73" ht="24.75" customHeight="1">
      <c r="T73" s="90"/>
    </row>
    <row r="74" ht="24.75" customHeight="1">
      <c r="T74" s="90"/>
    </row>
    <row r="75" ht="24.75" customHeight="1">
      <c r="T75" s="90"/>
    </row>
    <row r="76" ht="24.75" customHeight="1">
      <c r="T76" s="90"/>
    </row>
    <row r="77" ht="24.75" customHeight="1">
      <c r="T77" s="90"/>
    </row>
    <row r="78" ht="24.75" customHeight="1">
      <c r="T78" s="90"/>
    </row>
    <row r="79" ht="24.75" customHeight="1">
      <c r="T79" s="90"/>
    </row>
    <row r="80" ht="24.75" customHeight="1">
      <c r="T80" s="90"/>
    </row>
    <row r="81" ht="24.75" customHeight="1">
      <c r="T81" s="90"/>
    </row>
    <row r="82" ht="24.75" customHeight="1">
      <c r="T82" s="90"/>
    </row>
    <row r="83" ht="24.75" customHeight="1">
      <c r="T83" s="90"/>
    </row>
    <row r="84" ht="24.75" customHeight="1">
      <c r="T84" s="90"/>
    </row>
    <row r="85" ht="24.75" customHeight="1">
      <c r="T85" s="90"/>
    </row>
    <row r="86" ht="18.75">
      <c r="T86" s="90"/>
    </row>
    <row r="87" ht="18.75">
      <c r="T87" s="90"/>
    </row>
    <row r="88" ht="18.75">
      <c r="T88" s="90"/>
    </row>
    <row r="89" ht="18.75">
      <c r="T89" s="90"/>
    </row>
    <row r="90" ht="18.75">
      <c r="T90" s="90"/>
    </row>
    <row r="91" ht="18.75">
      <c r="T91" s="90"/>
    </row>
    <row r="92" ht="18.75">
      <c r="T92" s="90"/>
    </row>
    <row r="93" ht="18.75">
      <c r="T93" s="90"/>
    </row>
    <row r="94" ht="18.75">
      <c r="T94" s="90"/>
    </row>
    <row r="95" ht="18.75">
      <c r="T95" s="90"/>
    </row>
    <row r="96" ht="18.75">
      <c r="T96" s="90"/>
    </row>
    <row r="97" ht="18.75">
      <c r="T97" s="90"/>
    </row>
    <row r="98" ht="18.75">
      <c r="T98" s="90"/>
    </row>
    <row r="99" ht="18.75">
      <c r="T99" s="90"/>
    </row>
    <row r="100" ht="18.75">
      <c r="T100" s="90"/>
    </row>
    <row r="101" ht="18.75">
      <c r="T101" s="90"/>
    </row>
    <row r="102" ht="18.75">
      <c r="T102" s="90"/>
    </row>
    <row r="103" ht="18.75">
      <c r="T103" s="90"/>
    </row>
    <row r="104" ht="18.75">
      <c r="T104" s="90"/>
    </row>
    <row r="105" ht="18.75">
      <c r="T105" s="90"/>
    </row>
  </sheetData>
  <sheetProtection/>
  <mergeCells count="17">
    <mergeCell ref="B1:U1"/>
    <mergeCell ref="B2:U2"/>
    <mergeCell ref="D5:F5"/>
    <mergeCell ref="G5:I5"/>
    <mergeCell ref="U5:U7"/>
    <mergeCell ref="P5:R5"/>
    <mergeCell ref="T5:T7"/>
    <mergeCell ref="C5:C6"/>
    <mergeCell ref="A56:D56"/>
    <mergeCell ref="B55:F55"/>
    <mergeCell ref="B4:F4"/>
    <mergeCell ref="J5:L5"/>
    <mergeCell ref="D24:U24"/>
    <mergeCell ref="D30:U32"/>
    <mergeCell ref="S5:S7"/>
    <mergeCell ref="M5:O5"/>
    <mergeCell ref="B54:G54"/>
  </mergeCells>
  <printOptions horizontalCentered="1"/>
  <pageMargins left="0.03937007874015748" right="0.1968503937007874" top="0.03937007874015748" bottom="0.03937007874015748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2015-11-19T07:31:38Z</cp:lastPrinted>
  <dcterms:created xsi:type="dcterms:W3CDTF">2001-09-14T09:33:50Z</dcterms:created>
  <dcterms:modified xsi:type="dcterms:W3CDTF">2015-11-19T07:32:40Z</dcterms:modified>
  <cp:category/>
  <cp:version/>
  <cp:contentType/>
  <cp:contentStatus/>
</cp:coreProperties>
</file>